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EKONOMICKÉ\ROZPOČET\ROZPOČET 2026\"/>
    </mc:Choice>
  </mc:AlternateContent>
  <xr:revisionPtr revIDLastSave="0" documentId="13_ncr:1_{25073D6E-D509-45F6-ADEB-258452F4EAC6}" xr6:coauthVersionLast="47" xr6:coauthVersionMax="47" xr10:uidLastSave="{00000000-0000-0000-0000-000000000000}"/>
  <bookViews>
    <workbookView xWindow="14880" yWindow="0" windowWidth="14265" windowHeight="15375" tabRatio="882" firstSheet="16" activeTab="21" xr2:uid="{4FD748A9-4645-48B5-90DB-84C9A405AAC4}"/>
  </bookViews>
  <sheets>
    <sheet name="ROZPOČET_RO4" sheetId="38" state="hidden" r:id="rId1"/>
    <sheet name="ROZPOČET_RO3" sheetId="37" state="hidden" r:id="rId2"/>
    <sheet name="ROZPOČET_RO2" sheetId="36" state="hidden" r:id="rId3"/>
    <sheet name="VÝHLED_FINAL" sheetId="34" state="hidden" r:id="rId4"/>
    <sheet name="ROZPOČET_FINAL" sheetId="33" state="hidden" r:id="rId5"/>
    <sheet name="VÝHLEDschvaleno" sheetId="44" state="hidden" r:id="rId6"/>
    <sheet name="ROZPOČET_RO7_" sheetId="53" state="hidden" r:id="rId7"/>
    <sheet name="ROZPOČET_RO6_" sheetId="52" state="hidden" r:id="rId8"/>
    <sheet name="ROZPOČET_RO5_" sheetId="51" state="hidden" r:id="rId9"/>
    <sheet name="ROZPOČET_RO4_" sheetId="50" state="hidden" r:id="rId10"/>
    <sheet name="ROZPOČET_RO3_" sheetId="48" state="hidden" r:id="rId11"/>
    <sheet name="ROZPOČET_RO3_ navrh" sheetId="49" state="hidden" r:id="rId12"/>
    <sheet name="ROZPOČET_RO2_" sheetId="47" state="hidden" r:id="rId13"/>
    <sheet name="ROZPOČET_RO1" sheetId="46" state="hidden" r:id="rId14"/>
    <sheet name="ROZPOČETschváleno" sheetId="45" state="hidden" r:id="rId15"/>
    <sheet name="VÝHLED23návrh" sheetId="15" state="hidden" r:id="rId16"/>
    <sheet name="nSVR_26" sheetId="70" r:id="rId17"/>
    <sheet name="SVR_25" sheetId="65" state="hidden" r:id="rId18"/>
    <sheet name="SVR_25 navrh" sheetId="62" state="hidden" r:id="rId19"/>
    <sheet name="SVR_24" sheetId="57" state="hidden" r:id="rId20"/>
    <sheet name="SVR_24návrh" sheetId="55" state="hidden" r:id="rId21"/>
    <sheet name="RO_26" sheetId="63" r:id="rId22"/>
    <sheet name="RO4_25" sheetId="69" r:id="rId23"/>
    <sheet name="RO3_25" sheetId="68" state="hidden" r:id="rId24"/>
    <sheet name="RO2_25" sheetId="67" state="hidden" r:id="rId25"/>
    <sheet name="RO1_25" sheetId="66" state="hidden" r:id="rId26"/>
    <sheet name="RO4_24" sheetId="61" state="hidden" r:id="rId27"/>
    <sheet name="RO3_24" sheetId="60" state="hidden" r:id="rId28"/>
    <sheet name="RO2_24" sheetId="59" state="hidden" r:id="rId29"/>
    <sheet name="RO1_24" sheetId="58" state="hidden" r:id="rId30"/>
    <sheet name="RO_24" sheetId="56" state="hidden" r:id="rId31"/>
    <sheet name="RO_24návrh" sheetId="54" state="hidden" r:id="rId32"/>
    <sheet name="ROZPOČET23návrh" sheetId="14" state="hidden" r:id="rId33"/>
    <sheet name="odměny ZO 2025" sheetId="64" state="hidden" r:id="rId34"/>
    <sheet name="Rozpis_Příjmy" sheetId="4" r:id="rId35"/>
    <sheet name="Rozpis_Výdaje" sheetId="5" r:id="rId36"/>
    <sheet name="2023_vlastní aktivity" sheetId="39" state="hidden" r:id="rId37"/>
    <sheet name="odměny ZO 2023" sheetId="43" state="hidden" r:id="rId38"/>
  </sheets>
  <externalReferences>
    <externalReference r:id="rId39"/>
    <externalReference r:id="rId40"/>
    <externalReference r:id="rId41"/>
    <externalReference r:id="rId42"/>
  </externalReferences>
  <definedNames>
    <definedName name="_xlnm._FilterDatabase" localSheetId="34" hidden="1">Rozpis_Příjmy!$A$4:$ER$22</definedName>
    <definedName name="_xlnm._FilterDatabase" localSheetId="35" hidden="1">Rozpis_Výdaje!$A$4:$GY$43</definedName>
    <definedName name="JR_PAGE_ANCHOR_0_2" localSheetId="13">#REF!</definedName>
    <definedName name="JR_PAGE_ANCHOR_0_2" localSheetId="12">#REF!</definedName>
    <definedName name="JR_PAGE_ANCHOR_0_2" localSheetId="10">#REF!</definedName>
    <definedName name="JR_PAGE_ANCHOR_0_2" localSheetId="11">#REF!</definedName>
    <definedName name="JR_PAGE_ANCHOR_0_2" localSheetId="9">#REF!</definedName>
    <definedName name="JR_PAGE_ANCHOR_0_2" localSheetId="8">#REF!</definedName>
    <definedName name="JR_PAGE_ANCHOR_0_2" localSheetId="7">#REF!</definedName>
    <definedName name="JR_PAGE_ANCHOR_0_2" localSheetId="6">#REF!</definedName>
    <definedName name="JR_PAGE_ANCHOR_0_2">#REF!</definedName>
    <definedName name="JR_PAGE_ANCHOR_0_3" localSheetId="13">#REF!</definedName>
    <definedName name="JR_PAGE_ANCHOR_0_3" localSheetId="12">#REF!</definedName>
    <definedName name="JR_PAGE_ANCHOR_0_3" localSheetId="10">#REF!</definedName>
    <definedName name="JR_PAGE_ANCHOR_0_3" localSheetId="11">#REF!</definedName>
    <definedName name="JR_PAGE_ANCHOR_0_3" localSheetId="9">#REF!</definedName>
    <definedName name="JR_PAGE_ANCHOR_0_3" localSheetId="8">#REF!</definedName>
    <definedName name="JR_PAGE_ANCHOR_0_3" localSheetId="7">#REF!</definedName>
    <definedName name="JR_PAGE_ANCHOR_0_3" localSheetId="6">#REF!</definedName>
    <definedName name="JR_PAGE_ANCHOR_0_3">#REF!</definedName>
    <definedName name="_xlnm.Print_Area" localSheetId="16">nSVR_26!$A$1:$I$29</definedName>
    <definedName name="_xlnm.Print_Area" localSheetId="30">RO_24!$A$1:$I$33</definedName>
    <definedName name="_xlnm.Print_Area" localSheetId="31">RO_24návrh!$A$1:$I$31</definedName>
    <definedName name="_xlnm.Print_Area" localSheetId="21">RO_26!$A$1:$I$35</definedName>
    <definedName name="_xlnm.Print_Area" localSheetId="29">RO1_24!$A$1:$I$32</definedName>
    <definedName name="_xlnm.Print_Area" localSheetId="25">RO1_25!$A$1:$I$38</definedName>
    <definedName name="_xlnm.Print_Area" localSheetId="28">RO2_24!$A$1:$L$35</definedName>
    <definedName name="_xlnm.Print_Area" localSheetId="24">RO2_25!$A$1:$L$37</definedName>
    <definedName name="_xlnm.Print_Area" localSheetId="27">RO3_24!$A$1:$O$35</definedName>
    <definedName name="_xlnm.Print_Area" localSheetId="23">RO3_25!$A$1:$O$39</definedName>
    <definedName name="_xlnm.Print_Area" localSheetId="26">RO4_24!$A$1:$S$35</definedName>
    <definedName name="_xlnm.Print_Area" localSheetId="22">RO4_25!$A$1:$R$40</definedName>
    <definedName name="_xlnm.Print_Area" localSheetId="4">ROZPOČET_FINAL!$A$1:$H$32</definedName>
    <definedName name="_xlnm.Print_Area" localSheetId="13">ROZPOČET_RO1!$A$1:$I$35</definedName>
    <definedName name="_xlnm.Print_Area" localSheetId="2">ROZPOČET_RO2!$A$2:$L$33</definedName>
    <definedName name="_xlnm.Print_Area" localSheetId="12">ROZPOČET_RO2_!$A$1:$L$34</definedName>
    <definedName name="_xlnm.Print_Area" localSheetId="1">ROZPOČET_RO3!$A$1:$O$35</definedName>
    <definedName name="_xlnm.Print_Area" localSheetId="10">ROZPOČET_RO3_!$A$1:$O$34</definedName>
    <definedName name="_xlnm.Print_Area" localSheetId="11">'ROZPOČET_RO3_ navrh'!$A$1:$O$34</definedName>
    <definedName name="_xlnm.Print_Area" localSheetId="0">ROZPOČET_RO4!$A$1:$R$34</definedName>
    <definedName name="_xlnm.Print_Area" localSheetId="9">ROZPOČET_RO4_!$A$1:$R$36</definedName>
    <definedName name="_xlnm.Print_Area" localSheetId="8">ROZPOČET_RO5_!$A$1:$U$37</definedName>
    <definedName name="_xlnm.Print_Area" localSheetId="7">ROZPOČET_RO6_!$A$1:$X$37</definedName>
    <definedName name="_xlnm.Print_Area" localSheetId="6">ROZPOČET_RO7_!$A$1:$AA$38</definedName>
    <definedName name="_xlnm.Print_Area" localSheetId="32">ROZPOČET23návrh!$A$1:$H$30</definedName>
    <definedName name="_xlnm.Print_Area" localSheetId="14">ROZPOČETschváleno!$A$1:$H$32</definedName>
    <definedName name="_xlnm.Print_Area" localSheetId="19">SVR_24!$A$1:$I$26</definedName>
    <definedName name="_xlnm.Print_Area" localSheetId="20">SVR_24návrh!$A$1:$I$26</definedName>
    <definedName name="_xlnm.Print_Area" localSheetId="17">SVR_25!$A$1:$I$29</definedName>
    <definedName name="_xlnm.Print_Area" localSheetId="18">'SVR_25 navrh'!$A$1:$I$28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E51" i="5" l="1"/>
  <c r="HE52" i="5"/>
  <c r="FD122" i="4" l="1"/>
  <c r="FE35" i="4"/>
  <c r="FE99" i="4"/>
  <c r="HF357" i="5"/>
  <c r="HF353" i="5"/>
  <c r="HF351" i="5"/>
  <c r="HF347" i="5"/>
  <c r="HF344" i="5"/>
  <c r="HF343" i="5"/>
  <c r="HF342" i="5"/>
  <c r="HF341" i="5"/>
  <c r="HF340" i="5"/>
  <c r="HF339" i="5"/>
  <c r="HF338" i="5"/>
  <c r="HF337" i="5"/>
  <c r="HF336" i="5"/>
  <c r="HF333" i="5"/>
  <c r="HF331" i="5"/>
  <c r="HF325" i="5"/>
  <c r="HF324" i="5"/>
  <c r="HF321" i="5"/>
  <c r="HF320" i="5"/>
  <c r="HF317" i="5"/>
  <c r="HF316" i="5"/>
  <c r="HF315" i="5"/>
  <c r="HF313" i="5"/>
  <c r="HF312" i="5"/>
  <c r="HF311" i="5"/>
  <c r="HF309" i="5"/>
  <c r="HF308" i="5"/>
  <c r="HF307" i="5"/>
  <c r="HF306" i="5"/>
  <c r="HF305" i="5"/>
  <c r="HF304" i="5"/>
  <c r="HF303" i="5"/>
  <c r="HF302" i="5"/>
  <c r="HF301" i="5"/>
  <c r="HF300" i="5"/>
  <c r="HF299" i="5"/>
  <c r="HF298" i="5"/>
  <c r="HF297" i="5"/>
  <c r="HF296" i="5"/>
  <c r="HF295" i="5"/>
  <c r="HF294" i="5"/>
  <c r="HF293" i="5"/>
  <c r="HF292" i="5"/>
  <c r="HF291" i="5"/>
  <c r="HF290" i="5"/>
  <c r="HF289" i="5"/>
  <c r="HF288" i="5"/>
  <c r="HF287" i="5"/>
  <c r="HF286" i="5"/>
  <c r="HF285" i="5"/>
  <c r="HF284" i="5"/>
  <c r="HF283" i="5"/>
  <c r="HF282" i="5"/>
  <c r="HF281" i="5"/>
  <c r="HF280" i="5"/>
  <c r="HF279" i="5"/>
  <c r="HF278" i="5"/>
  <c r="HF255" i="5"/>
  <c r="HF254" i="5"/>
  <c r="HF252" i="5"/>
  <c r="HF248" i="5"/>
  <c r="HF245" i="5"/>
  <c r="HF244" i="5"/>
  <c r="HF243" i="5"/>
  <c r="HF242" i="5"/>
  <c r="HF241" i="5"/>
  <c r="HF240" i="5"/>
  <c r="HF239" i="5"/>
  <c r="HF238" i="5"/>
  <c r="HF237" i="5"/>
  <c r="HF235" i="5"/>
  <c r="HF234" i="5"/>
  <c r="HF233" i="5"/>
  <c r="HF232" i="5"/>
  <c r="HF231" i="5"/>
  <c r="HF230" i="5"/>
  <c r="HF229" i="5"/>
  <c r="HF228" i="5"/>
  <c r="HF227" i="5"/>
  <c r="HF226" i="5"/>
  <c r="HF225" i="5"/>
  <c r="HF224" i="5"/>
  <c r="HF223" i="5"/>
  <c r="HF222" i="5"/>
  <c r="HF221" i="5"/>
  <c r="HF220" i="5"/>
  <c r="HF219" i="5"/>
  <c r="HF218" i="5"/>
  <c r="HF217" i="5"/>
  <c r="HF216" i="5"/>
  <c r="HF214" i="5"/>
  <c r="HF213" i="5"/>
  <c r="HF212" i="5"/>
  <c r="HF206" i="5"/>
  <c r="HF205" i="5"/>
  <c r="HF204" i="5"/>
  <c r="HF203" i="5"/>
  <c r="HF198" i="5"/>
  <c r="HF197" i="5"/>
  <c r="HF196" i="5"/>
  <c r="HF195" i="5"/>
  <c r="HF194" i="5"/>
  <c r="HF193" i="5"/>
  <c r="HF192" i="5"/>
  <c r="HF191" i="5"/>
  <c r="HF190" i="5"/>
  <c r="HF189" i="5"/>
  <c r="HF188" i="5"/>
  <c r="HF187" i="5"/>
  <c r="HF186" i="5"/>
  <c r="HF185" i="5"/>
  <c r="HF184" i="5"/>
  <c r="HF183" i="5"/>
  <c r="HF182" i="5"/>
  <c r="HF181" i="5"/>
  <c r="HF180" i="5"/>
  <c r="HF179" i="5"/>
  <c r="HF175" i="5"/>
  <c r="HF172" i="5"/>
  <c r="HF171" i="5"/>
  <c r="HF169" i="5"/>
  <c r="HF168" i="5"/>
  <c r="HF167" i="5"/>
  <c r="HF163" i="5"/>
  <c r="HF160" i="5"/>
  <c r="HF159" i="5"/>
  <c r="HF158" i="5"/>
  <c r="HF156" i="5"/>
  <c r="HF155" i="5"/>
  <c r="HF153" i="5"/>
  <c r="HF151" i="5"/>
  <c r="HF148" i="5"/>
  <c r="HF147" i="5"/>
  <c r="HF146" i="5"/>
  <c r="HF143" i="5"/>
  <c r="HF137" i="5"/>
  <c r="HF136" i="5"/>
  <c r="HF132" i="5"/>
  <c r="HF131" i="5"/>
  <c r="HF128" i="5"/>
  <c r="HF127" i="5"/>
  <c r="HF126" i="5"/>
  <c r="HF125" i="5"/>
  <c r="HF124" i="5"/>
  <c r="HF123" i="5"/>
  <c r="HF122" i="5"/>
  <c r="HF121" i="5"/>
  <c r="HF120" i="5"/>
  <c r="HF119" i="5"/>
  <c r="HF118" i="5"/>
  <c r="HF117" i="5"/>
  <c r="HF114" i="5"/>
  <c r="HF113" i="5"/>
  <c r="HF112" i="5"/>
  <c r="HF111" i="5"/>
  <c r="HF110" i="5"/>
  <c r="HF109" i="5"/>
  <c r="HF103" i="5"/>
  <c r="HF102" i="5"/>
  <c r="HF100" i="5"/>
  <c r="HF97" i="5"/>
  <c r="HF96" i="5"/>
  <c r="HF87" i="5"/>
  <c r="HF86" i="5"/>
  <c r="HF85" i="5"/>
  <c r="HF84" i="5"/>
  <c r="HF80" i="5"/>
  <c r="HF79" i="5"/>
  <c r="HF78" i="5"/>
  <c r="HF77" i="5"/>
  <c r="HF76" i="5"/>
  <c r="HF75" i="5"/>
  <c r="HF72" i="5"/>
  <c r="HF71" i="5"/>
  <c r="HF67" i="5"/>
  <c r="HF64" i="5"/>
  <c r="HF62" i="5"/>
  <c r="HF43" i="5"/>
  <c r="HF40" i="5"/>
  <c r="HF39" i="5"/>
  <c r="HF37" i="5"/>
  <c r="HF33" i="5"/>
  <c r="HF31" i="5"/>
  <c r="HF26" i="5"/>
  <c r="HF25" i="5"/>
  <c r="HF24" i="5"/>
  <c r="HF23" i="5"/>
  <c r="HF18" i="5"/>
  <c r="HF13" i="5"/>
  <c r="HF10" i="5"/>
  <c r="HF9" i="5"/>
  <c r="HF8" i="5"/>
  <c r="HF5" i="5"/>
  <c r="HC350" i="5"/>
  <c r="FD22" i="4"/>
  <c r="FB22" i="4"/>
  <c r="FD99" i="4"/>
  <c r="D15" i="70" l="1"/>
  <c r="D14" i="70"/>
  <c r="C15" i="70"/>
  <c r="C14" i="70"/>
  <c r="F16" i="70" l="1"/>
  <c r="E16" i="70"/>
  <c r="D16" i="70"/>
  <c r="C16" i="70"/>
  <c r="F13" i="70"/>
  <c r="E13" i="70"/>
  <c r="F10" i="70"/>
  <c r="E10" i="70"/>
  <c r="C9" i="70"/>
  <c r="D8" i="70"/>
  <c r="C8" i="70"/>
  <c r="C7" i="70"/>
  <c r="HE57" i="5"/>
  <c r="E17" i="70" l="1"/>
  <c r="F17" i="70"/>
  <c r="HE62" i="5" l="1"/>
  <c r="FG27" i="4"/>
  <c r="F26" i="63"/>
  <c r="FD32" i="4"/>
  <c r="HC70" i="5"/>
  <c r="FD53" i="4"/>
  <c r="HE59" i="5"/>
  <c r="HE58" i="5"/>
  <c r="HE56" i="5"/>
  <c r="HE55" i="5"/>
  <c r="HE50" i="5"/>
  <c r="HE47" i="5"/>
  <c r="HE46" i="5"/>
  <c r="HE45" i="5"/>
  <c r="HE44" i="5"/>
  <c r="HE70" i="5" l="1"/>
  <c r="HF70" i="5" l="1"/>
  <c r="HE350" i="5"/>
  <c r="HF350" i="5" s="1"/>
  <c r="HE198" i="5"/>
  <c r="FB35" i="4"/>
  <c r="FB122" i="4"/>
  <c r="E27" i="63"/>
  <c r="HC357" i="5"/>
  <c r="HC347" i="5"/>
  <c r="HC336" i="5"/>
  <c r="HC331" i="5"/>
  <c r="HC324" i="5"/>
  <c r="HC320" i="5"/>
  <c r="HC316" i="5"/>
  <c r="HC313" i="5"/>
  <c r="HC311" i="5"/>
  <c r="HC312" i="5"/>
  <c r="HC278" i="5"/>
  <c r="HC247" i="5"/>
  <c r="HC242" i="5"/>
  <c r="HC241" i="5"/>
  <c r="HC240" i="5"/>
  <c r="HC216" i="5"/>
  <c r="HC214" i="5"/>
  <c r="HC212" i="5"/>
  <c r="HC205" i="5"/>
  <c r="HC204" i="5"/>
  <c r="HC203" i="5"/>
  <c r="HC180" i="5"/>
  <c r="HC179" i="5"/>
  <c r="HC168" i="5"/>
  <c r="HC167" i="5"/>
  <c r="HC160" i="5"/>
  <c r="HC159" i="5"/>
  <c r="HC156" i="5"/>
  <c r="HC155" i="5"/>
  <c r="HC148" i="5"/>
  <c r="HC147" i="5"/>
  <c r="HC146" i="5"/>
  <c r="HC137" i="5"/>
  <c r="HC136" i="5"/>
  <c r="HC132" i="5"/>
  <c r="HC131" i="5"/>
  <c r="HC119" i="5"/>
  <c r="HC118" i="5"/>
  <c r="HC117" i="5"/>
  <c r="HC103" i="5"/>
  <c r="HC100" i="5"/>
  <c r="HC97" i="5"/>
  <c r="HC96" i="5"/>
  <c r="HC85" i="5"/>
  <c r="HC84" i="5"/>
  <c r="HC71" i="5"/>
  <c r="HC43" i="5"/>
  <c r="HC37" i="5"/>
  <c r="HC31" i="5"/>
  <c r="HC25" i="5"/>
  <c r="HC24" i="5"/>
  <c r="HC23" i="5"/>
  <c r="HC10" i="5"/>
  <c r="HC8" i="5"/>
  <c r="FE14" i="4"/>
  <c r="FE5" i="4"/>
  <c r="FE6" i="4"/>
  <c r="FE7" i="4"/>
  <c r="FE8" i="4"/>
  <c r="FE9" i="4"/>
  <c r="FE10" i="4"/>
  <c r="HE71" i="5"/>
  <c r="HE203" i="5"/>
  <c r="HE180" i="5"/>
  <c r="HE179" i="5"/>
  <c r="HE85" i="5"/>
  <c r="FD25" i="4"/>
  <c r="HC353" i="5" l="1"/>
  <c r="HC351" i="5"/>
  <c r="HE357" i="5"/>
  <c r="HC355" i="5"/>
  <c r="HC1" i="5" s="1"/>
  <c r="E13" i="63"/>
  <c r="C12" i="70" s="1"/>
  <c r="FD126" i="4"/>
  <c r="FE106" i="4"/>
  <c r="FE105" i="4"/>
  <c r="F7" i="63"/>
  <c r="FE97" i="4"/>
  <c r="FE96" i="4"/>
  <c r="FE94" i="4"/>
  <c r="FE93" i="4"/>
  <c r="FE92" i="4"/>
  <c r="FE90" i="4"/>
  <c r="FE88" i="4"/>
  <c r="FE82" i="4"/>
  <c r="FE78" i="4"/>
  <c r="FE77" i="4"/>
  <c r="FE76" i="4"/>
  <c r="FE71" i="4"/>
  <c r="F6" i="63"/>
  <c r="D7" i="70" s="1"/>
  <c r="FE60" i="4"/>
  <c r="FE59" i="4"/>
  <c r="FE51" i="4"/>
  <c r="FE45" i="4"/>
  <c r="FE41" i="4"/>
  <c r="FE40" i="4"/>
  <c r="FE37" i="4"/>
  <c r="FE31" i="4"/>
  <c r="FE28" i="4"/>
  <c r="FE25" i="4"/>
  <c r="FE24" i="4"/>
  <c r="F5" i="63"/>
  <c r="D6" i="70" s="1"/>
  <c r="FE21" i="4"/>
  <c r="FE20" i="4"/>
  <c r="FE19" i="4"/>
  <c r="FE18" i="4"/>
  <c r="FE17" i="4"/>
  <c r="FE16" i="4"/>
  <c r="FE15" i="4"/>
  <c r="FE13" i="4"/>
  <c r="FE12" i="4"/>
  <c r="FE11" i="4"/>
  <c r="FB126" i="4"/>
  <c r="E6" i="63"/>
  <c r="FB99" i="4"/>
  <c r="E7" i="63" s="1"/>
  <c r="E8" i="63"/>
  <c r="E5" i="63"/>
  <c r="C6" i="70" s="1"/>
  <c r="C10" i="70" s="1"/>
  <c r="HE336" i="5"/>
  <c r="HE331" i="5"/>
  <c r="HE324" i="5"/>
  <c r="HE320" i="5"/>
  <c r="HE316" i="5"/>
  <c r="HE313" i="5"/>
  <c r="HE312" i="5"/>
  <c r="HE311" i="5"/>
  <c r="HE278" i="5"/>
  <c r="HE247" i="5"/>
  <c r="HE242" i="5"/>
  <c r="HE241" i="5"/>
  <c r="HE240" i="5"/>
  <c r="HE216" i="5"/>
  <c r="HE214" i="5"/>
  <c r="HE212" i="5"/>
  <c r="HE205" i="5"/>
  <c r="HE204" i="5"/>
  <c r="HE168" i="5"/>
  <c r="HE167" i="5"/>
  <c r="HE160" i="5"/>
  <c r="HE159" i="5"/>
  <c r="HE156" i="5"/>
  <c r="HE155" i="5"/>
  <c r="HE148" i="5"/>
  <c r="HE147" i="5"/>
  <c r="HE146" i="5"/>
  <c r="HE137" i="5"/>
  <c r="HE136" i="5"/>
  <c r="HE132" i="5"/>
  <c r="HE131" i="5"/>
  <c r="HE119" i="5"/>
  <c r="HE118" i="5"/>
  <c r="HE117" i="5"/>
  <c r="HE103" i="5"/>
  <c r="HE100" i="5"/>
  <c r="HE97" i="5"/>
  <c r="HE96" i="5"/>
  <c r="HE84" i="5"/>
  <c r="HE43" i="5"/>
  <c r="HE37" i="5"/>
  <c r="HE31" i="5"/>
  <c r="HE25" i="5"/>
  <c r="HE24" i="5"/>
  <c r="HE23" i="5"/>
  <c r="HE10" i="5"/>
  <c r="HE8" i="5"/>
  <c r="R22" i="69"/>
  <c r="R21" i="69"/>
  <c r="Q27" i="69"/>
  <c r="N27" i="69"/>
  <c r="K27" i="69"/>
  <c r="H27" i="69"/>
  <c r="F27" i="69"/>
  <c r="E27" i="69"/>
  <c r="D27" i="69"/>
  <c r="C27" i="69"/>
  <c r="I26" i="69"/>
  <c r="L26" i="69" s="1"/>
  <c r="O26" i="69" s="1"/>
  <c r="R26" i="69" s="1"/>
  <c r="I24" i="69"/>
  <c r="L24" i="69" s="1"/>
  <c r="O24" i="69" s="1"/>
  <c r="R24" i="69" s="1"/>
  <c r="I23" i="69"/>
  <c r="L23" i="69" s="1"/>
  <c r="O23" i="69" s="1"/>
  <c r="R23" i="69" s="1"/>
  <c r="L21" i="69"/>
  <c r="O21" i="69" s="1"/>
  <c r="I20" i="69"/>
  <c r="L20" i="69" s="1"/>
  <c r="O20" i="69" s="1"/>
  <c r="R20" i="69" s="1"/>
  <c r="I19" i="69"/>
  <c r="L19" i="69" s="1"/>
  <c r="D13" i="69"/>
  <c r="D12" i="69"/>
  <c r="EY33" i="4"/>
  <c r="EZ33" i="4" s="1"/>
  <c r="EY126" i="4"/>
  <c r="EY122" i="4"/>
  <c r="Q6" i="69" s="1"/>
  <c r="EY99" i="4"/>
  <c r="Q7" i="69" s="1"/>
  <c r="EY22" i="4"/>
  <c r="Q5" i="69" s="1"/>
  <c r="GZ70" i="5"/>
  <c r="HA55" i="5"/>
  <c r="GZ347" i="5"/>
  <c r="GZ336" i="5"/>
  <c r="GZ331" i="5"/>
  <c r="GZ324" i="5"/>
  <c r="GZ320" i="5"/>
  <c r="GZ316" i="5"/>
  <c r="HA313" i="5"/>
  <c r="GZ313" i="5"/>
  <c r="GZ312" i="5"/>
  <c r="GZ311" i="5"/>
  <c r="GZ278" i="5"/>
  <c r="GZ357" i="5"/>
  <c r="GZ247" i="5"/>
  <c r="GZ242" i="5"/>
  <c r="GZ241" i="5"/>
  <c r="GZ240" i="5"/>
  <c r="GZ216" i="5"/>
  <c r="GZ214" i="5"/>
  <c r="GZ212" i="5"/>
  <c r="GZ205" i="5"/>
  <c r="GZ204" i="5"/>
  <c r="GZ203" i="5"/>
  <c r="GZ180" i="5"/>
  <c r="GZ179" i="5"/>
  <c r="GZ168" i="5"/>
  <c r="GZ167" i="5"/>
  <c r="GZ160" i="5"/>
  <c r="GZ159" i="5"/>
  <c r="GZ156" i="5"/>
  <c r="GZ155" i="5"/>
  <c r="GZ148" i="5"/>
  <c r="GZ147" i="5"/>
  <c r="GZ146" i="5"/>
  <c r="HA137" i="5"/>
  <c r="GZ137" i="5"/>
  <c r="HA136" i="5"/>
  <c r="GZ136" i="5"/>
  <c r="GZ132" i="5"/>
  <c r="GZ131" i="5"/>
  <c r="GZ119" i="5"/>
  <c r="GZ118" i="5"/>
  <c r="GZ117" i="5"/>
  <c r="GZ103" i="5"/>
  <c r="GZ100" i="5"/>
  <c r="GZ97" i="5"/>
  <c r="GZ96" i="5"/>
  <c r="HA85" i="5"/>
  <c r="GZ85" i="5"/>
  <c r="GZ84" i="5"/>
  <c r="GZ71" i="5"/>
  <c r="GZ43" i="5"/>
  <c r="GZ37" i="5"/>
  <c r="GZ31" i="5"/>
  <c r="GZ25" i="5"/>
  <c r="GZ24" i="5"/>
  <c r="GZ23" i="5"/>
  <c r="GZ10" i="5"/>
  <c r="GZ8" i="5"/>
  <c r="GX144" i="5"/>
  <c r="HA144" i="5" s="1"/>
  <c r="HA148" i="5" s="1"/>
  <c r="GW70" i="5"/>
  <c r="GX54" i="5"/>
  <c r="HA54" i="5" s="1"/>
  <c r="GW347" i="5"/>
  <c r="GW336" i="5"/>
  <c r="GW331" i="5"/>
  <c r="GW324" i="5"/>
  <c r="GW320" i="5"/>
  <c r="GW316" i="5"/>
  <c r="GX313" i="5"/>
  <c r="GW313" i="5"/>
  <c r="GW312" i="5"/>
  <c r="GW311" i="5"/>
  <c r="GW247" i="5"/>
  <c r="GW242" i="5"/>
  <c r="GW241" i="5"/>
  <c r="GW240" i="5"/>
  <c r="GW216" i="5"/>
  <c r="GW214" i="5"/>
  <c r="GW212" i="5"/>
  <c r="GW205" i="5"/>
  <c r="GW204" i="5"/>
  <c r="GW203" i="5"/>
  <c r="GW180" i="5"/>
  <c r="GW179" i="5"/>
  <c r="GW168" i="5"/>
  <c r="GW167" i="5"/>
  <c r="GW160" i="5"/>
  <c r="GW159" i="5"/>
  <c r="GW156" i="5"/>
  <c r="GW155" i="5"/>
  <c r="GW148" i="5"/>
  <c r="GW147" i="5"/>
  <c r="GW146" i="5"/>
  <c r="GX137" i="5"/>
  <c r="GW137" i="5"/>
  <c r="GX136" i="5"/>
  <c r="GW136" i="5"/>
  <c r="GW132" i="5"/>
  <c r="GW131" i="5"/>
  <c r="GW119" i="5"/>
  <c r="GW118" i="5"/>
  <c r="GW117" i="5"/>
  <c r="GW103" i="5"/>
  <c r="GW100" i="5"/>
  <c r="GW97" i="5"/>
  <c r="GW96" i="5"/>
  <c r="GX85" i="5"/>
  <c r="GW85" i="5"/>
  <c r="GW84" i="5"/>
  <c r="GW71" i="5"/>
  <c r="GW43" i="5"/>
  <c r="GW37" i="5"/>
  <c r="GW31" i="5"/>
  <c r="GW25" i="5"/>
  <c r="GW24" i="5"/>
  <c r="GW23" i="5"/>
  <c r="GW10" i="5"/>
  <c r="GW8" i="5"/>
  <c r="GT357" i="5"/>
  <c r="GU139" i="5"/>
  <c r="GX139" i="5" s="1"/>
  <c r="HA139" i="5" s="1"/>
  <c r="GU141" i="5"/>
  <c r="GX141" i="5" s="1"/>
  <c r="HA141" i="5" s="1"/>
  <c r="GT347" i="5"/>
  <c r="GT336" i="5"/>
  <c r="GT331" i="5"/>
  <c r="GT324" i="5"/>
  <c r="GT320" i="5"/>
  <c r="GT316" i="5"/>
  <c r="GU313" i="5"/>
  <c r="GT313" i="5"/>
  <c r="GT312" i="5"/>
  <c r="GT311" i="5"/>
  <c r="GT278" i="5"/>
  <c r="GT247" i="5"/>
  <c r="GT242" i="5"/>
  <c r="GT241" i="5"/>
  <c r="GT240" i="5"/>
  <c r="GT216" i="5"/>
  <c r="GT214" i="5"/>
  <c r="GT212" i="5"/>
  <c r="GT205" i="5"/>
  <c r="GT204" i="5"/>
  <c r="GT203" i="5"/>
  <c r="GT180" i="5"/>
  <c r="GT179" i="5"/>
  <c r="GT168" i="5"/>
  <c r="GT167" i="5"/>
  <c r="GT160" i="5"/>
  <c r="GT159" i="5"/>
  <c r="GT156" i="5"/>
  <c r="GT155" i="5"/>
  <c r="GU148" i="5"/>
  <c r="GT148" i="5"/>
  <c r="GT147" i="5"/>
  <c r="GT146" i="5"/>
  <c r="GU137" i="5"/>
  <c r="GT137" i="5"/>
  <c r="GU136" i="5"/>
  <c r="GT136" i="5"/>
  <c r="GT132" i="5"/>
  <c r="GT131" i="5"/>
  <c r="GT119" i="5"/>
  <c r="GT118" i="5"/>
  <c r="GT117" i="5"/>
  <c r="GT103" i="5"/>
  <c r="GT100" i="5"/>
  <c r="GT97" i="5"/>
  <c r="GT96" i="5"/>
  <c r="GU85" i="5"/>
  <c r="GT85" i="5"/>
  <c r="GT84" i="5"/>
  <c r="GT71" i="5"/>
  <c r="GT70" i="5"/>
  <c r="GT43" i="5"/>
  <c r="GT37" i="5"/>
  <c r="GT31" i="5"/>
  <c r="GT25" i="5"/>
  <c r="GT24" i="5"/>
  <c r="GT23" i="5"/>
  <c r="GT10" i="5"/>
  <c r="GT8" i="5"/>
  <c r="EI126" i="4"/>
  <c r="EK126" i="4"/>
  <c r="EM126" i="4"/>
  <c r="EP126" i="4"/>
  <c r="ES126" i="4"/>
  <c r="EV126" i="4"/>
  <c r="EV37" i="4"/>
  <c r="EV122" i="4" s="1"/>
  <c r="N6" i="69" s="1"/>
  <c r="EW24" i="4"/>
  <c r="EZ24" i="4" s="1"/>
  <c r="O21" i="68"/>
  <c r="EV97" i="4"/>
  <c r="GR253" i="5"/>
  <c r="GU253" i="5" s="1"/>
  <c r="GX253" i="5" s="1"/>
  <c r="HA253" i="5" s="1"/>
  <c r="GQ278" i="5"/>
  <c r="GQ70" i="5"/>
  <c r="GR45" i="5"/>
  <c r="GU45" i="5" s="1"/>
  <c r="GX45" i="5" s="1"/>
  <c r="HA45" i="5" s="1"/>
  <c r="GR58" i="5"/>
  <c r="GU58" i="5" s="1"/>
  <c r="GX58" i="5" s="1"/>
  <c r="HA58" i="5" s="1"/>
  <c r="E12" i="63" l="1"/>
  <c r="C11" i="70" s="1"/>
  <c r="C13" i="70" s="1"/>
  <c r="C17" i="70" s="1"/>
  <c r="FE122" i="4"/>
  <c r="FB124" i="4"/>
  <c r="FB1" i="4" s="1"/>
  <c r="FE126" i="4"/>
  <c r="FE22" i="4"/>
  <c r="HE351" i="5"/>
  <c r="GX148" i="5"/>
  <c r="HE353" i="5"/>
  <c r="F13" i="63" s="1"/>
  <c r="D12" i="70" s="1"/>
  <c r="HE347" i="5"/>
  <c r="D14" i="69"/>
  <c r="O19" i="69"/>
  <c r="L27" i="69"/>
  <c r="I27" i="69"/>
  <c r="GZ350" i="5"/>
  <c r="Q12" i="69" s="1"/>
  <c r="GZ351" i="5"/>
  <c r="GZ353" i="5"/>
  <c r="Q13" i="69" s="1"/>
  <c r="GW351" i="5"/>
  <c r="GW353" i="5"/>
  <c r="GT351" i="5"/>
  <c r="GT353" i="5"/>
  <c r="GT350" i="5"/>
  <c r="GQ357" i="5"/>
  <c r="GQ347" i="5"/>
  <c r="GQ336" i="5"/>
  <c r="GQ331" i="5"/>
  <c r="GQ324" i="5"/>
  <c r="GQ320" i="5"/>
  <c r="GQ316" i="5"/>
  <c r="GR313" i="5"/>
  <c r="GQ313" i="5"/>
  <c r="GQ312" i="5"/>
  <c r="GQ311" i="5"/>
  <c r="GQ247" i="5"/>
  <c r="GQ242" i="5"/>
  <c r="GQ241" i="5"/>
  <c r="GQ240" i="5"/>
  <c r="GQ216" i="5"/>
  <c r="GQ214" i="5"/>
  <c r="GQ212" i="5"/>
  <c r="GQ205" i="5"/>
  <c r="GQ204" i="5"/>
  <c r="GQ203" i="5"/>
  <c r="GQ180" i="5"/>
  <c r="GQ179" i="5"/>
  <c r="GQ168" i="5"/>
  <c r="GQ167" i="5"/>
  <c r="GQ160" i="5"/>
  <c r="GQ159" i="5"/>
  <c r="GQ156" i="5"/>
  <c r="GQ155" i="5"/>
  <c r="GR148" i="5"/>
  <c r="GQ148" i="5"/>
  <c r="GQ147" i="5"/>
  <c r="GQ146" i="5"/>
  <c r="GR137" i="5"/>
  <c r="GQ137" i="5"/>
  <c r="GR136" i="5"/>
  <c r="GQ136" i="5"/>
  <c r="GQ132" i="5"/>
  <c r="GQ131" i="5"/>
  <c r="GQ119" i="5"/>
  <c r="GQ118" i="5"/>
  <c r="GQ117" i="5"/>
  <c r="GQ103" i="5"/>
  <c r="GQ100" i="5"/>
  <c r="GQ97" i="5"/>
  <c r="GQ96" i="5"/>
  <c r="GR85" i="5"/>
  <c r="GQ85" i="5"/>
  <c r="GQ84" i="5"/>
  <c r="GQ71" i="5"/>
  <c r="GQ43" i="5"/>
  <c r="GQ37" i="5"/>
  <c r="GQ31" i="5"/>
  <c r="GQ25" i="5"/>
  <c r="GQ24" i="5"/>
  <c r="GQ23" i="5"/>
  <c r="GQ10" i="5"/>
  <c r="GQ8" i="5"/>
  <c r="N27" i="68"/>
  <c r="O24" i="68"/>
  <c r="O23" i="68"/>
  <c r="K27" i="68"/>
  <c r="H27" i="68"/>
  <c r="F27" i="68"/>
  <c r="E27" i="68"/>
  <c r="D27" i="68"/>
  <c r="C27" i="68"/>
  <c r="I26" i="68"/>
  <c r="L26" i="68" s="1"/>
  <c r="O26" i="68" s="1"/>
  <c r="I24" i="68"/>
  <c r="L24" i="68" s="1"/>
  <c r="I23" i="68"/>
  <c r="L23" i="68" s="1"/>
  <c r="L21" i="68"/>
  <c r="I20" i="68"/>
  <c r="L20" i="68" s="1"/>
  <c r="O20" i="68" s="1"/>
  <c r="I19" i="68"/>
  <c r="L19" i="68" s="1"/>
  <c r="O19" i="68" s="1"/>
  <c r="D13" i="68"/>
  <c r="D12" i="68"/>
  <c r="N6" i="68"/>
  <c r="EV99" i="4"/>
  <c r="EV35" i="4"/>
  <c r="EV22" i="4"/>
  <c r="K27" i="67"/>
  <c r="L21" i="67"/>
  <c r="H27" i="67"/>
  <c r="F27" i="67"/>
  <c r="E27" i="67"/>
  <c r="D27" i="67"/>
  <c r="C27" i="67"/>
  <c r="I26" i="67"/>
  <c r="L26" i="67" s="1"/>
  <c r="I24" i="67"/>
  <c r="L24" i="67" s="1"/>
  <c r="I23" i="67"/>
  <c r="L23" i="67" s="1"/>
  <c r="I20" i="67"/>
  <c r="L20" i="67" s="1"/>
  <c r="I19" i="67"/>
  <c r="D13" i="67"/>
  <c r="D12" i="67"/>
  <c r="ES122" i="4"/>
  <c r="K6" i="67" s="1"/>
  <c r="ES99" i="4"/>
  <c r="ES35" i="4"/>
  <c r="ES22" i="4"/>
  <c r="GN357" i="5"/>
  <c r="GN347" i="5"/>
  <c r="GN336" i="5"/>
  <c r="GN331" i="5"/>
  <c r="GN324" i="5"/>
  <c r="GN320" i="5"/>
  <c r="GN316" i="5"/>
  <c r="GO313" i="5"/>
  <c r="GN313" i="5"/>
  <c r="GN312" i="5"/>
  <c r="GN311" i="5"/>
  <c r="GN278" i="5"/>
  <c r="GN247" i="5"/>
  <c r="GN242" i="5"/>
  <c r="GN241" i="5"/>
  <c r="GN240" i="5"/>
  <c r="GN216" i="5"/>
  <c r="GN214" i="5"/>
  <c r="GN212" i="5"/>
  <c r="GN205" i="5"/>
  <c r="GN204" i="5"/>
  <c r="GN203" i="5"/>
  <c r="GN180" i="5"/>
  <c r="GN179" i="5"/>
  <c r="GN168" i="5"/>
  <c r="GN167" i="5"/>
  <c r="GN160" i="5"/>
  <c r="GN159" i="5"/>
  <c r="GN156" i="5"/>
  <c r="GN155" i="5"/>
  <c r="GO148" i="5"/>
  <c r="GN148" i="5"/>
  <c r="GN147" i="5"/>
  <c r="GN146" i="5"/>
  <c r="GO137" i="5"/>
  <c r="GN137" i="5"/>
  <c r="GO136" i="5"/>
  <c r="GN136" i="5"/>
  <c r="GN132" i="5"/>
  <c r="GN131" i="5"/>
  <c r="GN119" i="5"/>
  <c r="GN118" i="5"/>
  <c r="GN117" i="5"/>
  <c r="GN103" i="5"/>
  <c r="GN100" i="5"/>
  <c r="GN97" i="5"/>
  <c r="GN96" i="5"/>
  <c r="GO85" i="5"/>
  <c r="GN85" i="5"/>
  <c r="GN84" i="5"/>
  <c r="GN71" i="5"/>
  <c r="GN70" i="5"/>
  <c r="GN43" i="5"/>
  <c r="GN37" i="5"/>
  <c r="GN31" i="5"/>
  <c r="GN25" i="5"/>
  <c r="GN24" i="5"/>
  <c r="GN23" i="5"/>
  <c r="GN10" i="5"/>
  <c r="GN8" i="5"/>
  <c r="GK357" i="5"/>
  <c r="GK347" i="5"/>
  <c r="GK336" i="5"/>
  <c r="GK331" i="5"/>
  <c r="GK324" i="5"/>
  <c r="GK320" i="5"/>
  <c r="GK316" i="5"/>
  <c r="GL313" i="5"/>
  <c r="GK313" i="5"/>
  <c r="GK312" i="5"/>
  <c r="GK311" i="5"/>
  <c r="GK278" i="5"/>
  <c r="GK247" i="5"/>
  <c r="GK242" i="5"/>
  <c r="GK241" i="5"/>
  <c r="GK240" i="5"/>
  <c r="GK216" i="5"/>
  <c r="GK214" i="5"/>
  <c r="GK212" i="5"/>
  <c r="GK205" i="5"/>
  <c r="GK204" i="5"/>
  <c r="GK203" i="5"/>
  <c r="GK180" i="5"/>
  <c r="GK179" i="5"/>
  <c r="GK168" i="5"/>
  <c r="GK167" i="5"/>
  <c r="GK160" i="5"/>
  <c r="GK159" i="5"/>
  <c r="GK156" i="5"/>
  <c r="GK155" i="5"/>
  <c r="GL148" i="5"/>
  <c r="GK148" i="5"/>
  <c r="GK147" i="5"/>
  <c r="GK146" i="5"/>
  <c r="GL137" i="5"/>
  <c r="GK137" i="5"/>
  <c r="GL136" i="5"/>
  <c r="GK136" i="5"/>
  <c r="GK132" i="5"/>
  <c r="GK131" i="5"/>
  <c r="GK119" i="5"/>
  <c r="GK118" i="5"/>
  <c r="GK117" i="5"/>
  <c r="GK103" i="5"/>
  <c r="GK100" i="5"/>
  <c r="GK97" i="5"/>
  <c r="GK96" i="5"/>
  <c r="GL85" i="5"/>
  <c r="GK85" i="5"/>
  <c r="GK84" i="5"/>
  <c r="GK71" i="5"/>
  <c r="GK70" i="5"/>
  <c r="GK43" i="5"/>
  <c r="GK37" i="5"/>
  <c r="GK31" i="5"/>
  <c r="GK25" i="5"/>
  <c r="GK24" i="5"/>
  <c r="GK23" i="5"/>
  <c r="GK10" i="5"/>
  <c r="GK8" i="5"/>
  <c r="EQ32" i="4"/>
  <c r="ET32" i="4" s="1"/>
  <c r="EW32" i="4" s="1"/>
  <c r="EZ32" i="4" s="1"/>
  <c r="EP122" i="4"/>
  <c r="EP99" i="4"/>
  <c r="EP35" i="4"/>
  <c r="EP22" i="4"/>
  <c r="GH357" i="5"/>
  <c r="GH347" i="5"/>
  <c r="GH336" i="5"/>
  <c r="GH331" i="5"/>
  <c r="GH324" i="5"/>
  <c r="GH320" i="5"/>
  <c r="GH316" i="5"/>
  <c r="GI313" i="5"/>
  <c r="GH313" i="5"/>
  <c r="GH312" i="5"/>
  <c r="GH311" i="5"/>
  <c r="GH278" i="5"/>
  <c r="GH247" i="5"/>
  <c r="GH242" i="5"/>
  <c r="GH241" i="5"/>
  <c r="GH240" i="5"/>
  <c r="GH216" i="5"/>
  <c r="GH214" i="5"/>
  <c r="GH212" i="5"/>
  <c r="GH205" i="5"/>
  <c r="GH204" i="5"/>
  <c r="GH203" i="5"/>
  <c r="GH180" i="5"/>
  <c r="GH179" i="5"/>
  <c r="GH168" i="5"/>
  <c r="GH167" i="5"/>
  <c r="GH160" i="5"/>
  <c r="GH159" i="5"/>
  <c r="GH156" i="5"/>
  <c r="GH155" i="5"/>
  <c r="GI148" i="5"/>
  <c r="GH148" i="5"/>
  <c r="GH147" i="5"/>
  <c r="GH146" i="5"/>
  <c r="GI137" i="5"/>
  <c r="GH137" i="5"/>
  <c r="GI136" i="5"/>
  <c r="GH136" i="5"/>
  <c r="GH132" i="5"/>
  <c r="GH131" i="5"/>
  <c r="GH119" i="5"/>
  <c r="GH118" i="5"/>
  <c r="GH117" i="5"/>
  <c r="GH103" i="5"/>
  <c r="GH100" i="5"/>
  <c r="GH97" i="5"/>
  <c r="GH96" i="5"/>
  <c r="GI85" i="5"/>
  <c r="GH85" i="5"/>
  <c r="GH84" i="5"/>
  <c r="GH71" i="5"/>
  <c r="GH70" i="5"/>
  <c r="GH43" i="5"/>
  <c r="GH37" i="5"/>
  <c r="GH31" i="5"/>
  <c r="GH25" i="5"/>
  <c r="GH24" i="5"/>
  <c r="GH23" i="5"/>
  <c r="GH10" i="5"/>
  <c r="GH8" i="5"/>
  <c r="EM122" i="4"/>
  <c r="GE62" i="5"/>
  <c r="GE71" i="5" s="1"/>
  <c r="FW72" i="5"/>
  <c r="EM27" i="4"/>
  <c r="EN27" i="4" s="1"/>
  <c r="EQ27" i="4" s="1"/>
  <c r="ET27" i="4" s="1"/>
  <c r="EW27" i="4" s="1"/>
  <c r="EI122" i="4"/>
  <c r="EN82" i="4"/>
  <c r="EQ82" i="4" s="1"/>
  <c r="ET82" i="4" s="1"/>
  <c r="EW82" i="4" s="1"/>
  <c r="EZ82" i="4" s="1"/>
  <c r="EN62" i="4"/>
  <c r="EQ62" i="4" s="1"/>
  <c r="ET62" i="4" s="1"/>
  <c r="EW62" i="4" s="1"/>
  <c r="EZ62" i="4" s="1"/>
  <c r="EN57" i="4"/>
  <c r="EQ57" i="4" s="1"/>
  <c r="ET57" i="4" s="1"/>
  <c r="EW57" i="4" s="1"/>
  <c r="EZ57" i="4" s="1"/>
  <c r="I20" i="66"/>
  <c r="I26" i="66"/>
  <c r="I24" i="66"/>
  <c r="I23" i="66"/>
  <c r="I19" i="66"/>
  <c r="GF53" i="5"/>
  <c r="GI53" i="5" s="1"/>
  <c r="GL53" i="5" s="1"/>
  <c r="GO53" i="5" s="1"/>
  <c r="GR53" i="5" s="1"/>
  <c r="GU53" i="5" s="1"/>
  <c r="GX53" i="5" s="1"/>
  <c r="EM28" i="4"/>
  <c r="EN28" i="4" s="1"/>
  <c r="EQ28" i="4" s="1"/>
  <c r="ET28" i="4" s="1"/>
  <c r="EW28" i="4" s="1"/>
  <c r="EZ28" i="4" s="1"/>
  <c r="GE347" i="5"/>
  <c r="GE336" i="5"/>
  <c r="GE331" i="5"/>
  <c r="GE324" i="5"/>
  <c r="GE320" i="5"/>
  <c r="GE316" i="5"/>
  <c r="GF313" i="5"/>
  <c r="GE313" i="5"/>
  <c r="GE312" i="5"/>
  <c r="GE311" i="5"/>
  <c r="GE278" i="5"/>
  <c r="GE247" i="5"/>
  <c r="GE242" i="5"/>
  <c r="GE241" i="5"/>
  <c r="GE240" i="5"/>
  <c r="GE216" i="5"/>
  <c r="GE214" i="5"/>
  <c r="GE212" i="5"/>
  <c r="GE205" i="5"/>
  <c r="GE204" i="5"/>
  <c r="GE203" i="5"/>
  <c r="GE180" i="5"/>
  <c r="GE179" i="5"/>
  <c r="GE168" i="5"/>
  <c r="GE167" i="5"/>
  <c r="GE160" i="5"/>
  <c r="GE159" i="5"/>
  <c r="GE156" i="5"/>
  <c r="GE155" i="5"/>
  <c r="GF148" i="5"/>
  <c r="GE148" i="5"/>
  <c r="GE147" i="5"/>
  <c r="GE146" i="5"/>
  <c r="GF137" i="5"/>
  <c r="GE137" i="5"/>
  <c r="GF136" i="5"/>
  <c r="GE136" i="5"/>
  <c r="GE132" i="5"/>
  <c r="GE131" i="5"/>
  <c r="GE119" i="5"/>
  <c r="GE118" i="5"/>
  <c r="GE117" i="5"/>
  <c r="GE103" i="5"/>
  <c r="GE100" i="5"/>
  <c r="GE97" i="5"/>
  <c r="GE96" i="5"/>
  <c r="GF85" i="5"/>
  <c r="GE85" i="5"/>
  <c r="GE84" i="5"/>
  <c r="GE70" i="5"/>
  <c r="GE43" i="5"/>
  <c r="GE37" i="5"/>
  <c r="GE31" i="5"/>
  <c r="GE25" i="5"/>
  <c r="GE24" i="5"/>
  <c r="GE23" i="5"/>
  <c r="GE10" i="5"/>
  <c r="GE8" i="5"/>
  <c r="GB25" i="5"/>
  <c r="GB24" i="5"/>
  <c r="EM99" i="4"/>
  <c r="EN59" i="4"/>
  <c r="EQ59" i="4" s="1"/>
  <c r="ET59" i="4" s="1"/>
  <c r="EW59" i="4" s="1"/>
  <c r="EZ59" i="4" s="1"/>
  <c r="EN19" i="4"/>
  <c r="EQ19" i="4" s="1"/>
  <c r="ET19" i="4" s="1"/>
  <c r="EW19" i="4" s="1"/>
  <c r="EZ19" i="4" s="1"/>
  <c r="EN20" i="4"/>
  <c r="EQ20" i="4" s="1"/>
  <c r="ET20" i="4" s="1"/>
  <c r="EW20" i="4" s="1"/>
  <c r="EZ20" i="4" s="1"/>
  <c r="EM22" i="4"/>
  <c r="EN116" i="4"/>
  <c r="EQ116" i="4" s="1"/>
  <c r="ET116" i="4" s="1"/>
  <c r="EW116" i="4" s="1"/>
  <c r="EZ116" i="4" s="1"/>
  <c r="EN115" i="4"/>
  <c r="EQ115" i="4" s="1"/>
  <c r="ET115" i="4" s="1"/>
  <c r="EW115" i="4" s="1"/>
  <c r="EZ115" i="4" s="1"/>
  <c r="EN114" i="4"/>
  <c r="EQ114" i="4" s="1"/>
  <c r="ET114" i="4" s="1"/>
  <c r="EW114" i="4" s="1"/>
  <c r="EZ114" i="4" s="1"/>
  <c r="EN113" i="4"/>
  <c r="EQ113" i="4" s="1"/>
  <c r="ET113" i="4" s="1"/>
  <c r="EW113" i="4" s="1"/>
  <c r="EZ113" i="4" s="1"/>
  <c r="EN112" i="4"/>
  <c r="EQ112" i="4" s="1"/>
  <c r="ET112" i="4" s="1"/>
  <c r="EW112" i="4" s="1"/>
  <c r="EZ112" i="4" s="1"/>
  <c r="EN111" i="4"/>
  <c r="EQ111" i="4" s="1"/>
  <c r="ET111" i="4" s="1"/>
  <c r="EW111" i="4" s="1"/>
  <c r="EZ111" i="4" s="1"/>
  <c r="EN109" i="4"/>
  <c r="EQ109" i="4" s="1"/>
  <c r="ET109" i="4" s="1"/>
  <c r="EW109" i="4" s="1"/>
  <c r="EZ109" i="4" s="1"/>
  <c r="EN108" i="4"/>
  <c r="EQ108" i="4" s="1"/>
  <c r="ET108" i="4" s="1"/>
  <c r="EW108" i="4" s="1"/>
  <c r="EZ108" i="4" s="1"/>
  <c r="EN107" i="4"/>
  <c r="EQ107" i="4" s="1"/>
  <c r="ET107" i="4" s="1"/>
  <c r="EW107" i="4" s="1"/>
  <c r="EZ107" i="4" s="1"/>
  <c r="EN106" i="4"/>
  <c r="EQ106" i="4" s="1"/>
  <c r="ET106" i="4" s="1"/>
  <c r="EW106" i="4" s="1"/>
  <c r="EZ106" i="4" s="1"/>
  <c r="EN105" i="4"/>
  <c r="EQ105" i="4" s="1"/>
  <c r="ET105" i="4" s="1"/>
  <c r="EN97" i="4"/>
  <c r="EQ97" i="4" s="1"/>
  <c r="ET97" i="4" s="1"/>
  <c r="EN96" i="4"/>
  <c r="EQ96" i="4" s="1"/>
  <c r="ET96" i="4" s="1"/>
  <c r="EW96" i="4" s="1"/>
  <c r="EZ96" i="4" s="1"/>
  <c r="EN94" i="4"/>
  <c r="EQ94" i="4" s="1"/>
  <c r="ET94" i="4" s="1"/>
  <c r="EW94" i="4" s="1"/>
  <c r="EZ94" i="4" s="1"/>
  <c r="EN93" i="4"/>
  <c r="EQ93" i="4" s="1"/>
  <c r="ET93" i="4" s="1"/>
  <c r="EW93" i="4" s="1"/>
  <c r="EZ93" i="4" s="1"/>
  <c r="EN92" i="4"/>
  <c r="EQ92" i="4" s="1"/>
  <c r="ET92" i="4" s="1"/>
  <c r="EW92" i="4" s="1"/>
  <c r="EZ92" i="4" s="1"/>
  <c r="EN90" i="4"/>
  <c r="EQ90" i="4" s="1"/>
  <c r="ET90" i="4" s="1"/>
  <c r="EW90" i="4" s="1"/>
  <c r="EZ90" i="4" s="1"/>
  <c r="EN89" i="4"/>
  <c r="EQ89" i="4" s="1"/>
  <c r="ET89" i="4" s="1"/>
  <c r="EW89" i="4" s="1"/>
  <c r="EZ89" i="4" s="1"/>
  <c r="EN88" i="4"/>
  <c r="EQ88" i="4" s="1"/>
  <c r="ET88" i="4" s="1"/>
  <c r="EW88" i="4" s="1"/>
  <c r="EZ88" i="4" s="1"/>
  <c r="EN85" i="4"/>
  <c r="EQ85" i="4" s="1"/>
  <c r="ET85" i="4" s="1"/>
  <c r="EW85" i="4" s="1"/>
  <c r="EZ85" i="4" s="1"/>
  <c r="EN83" i="4"/>
  <c r="EQ83" i="4" s="1"/>
  <c r="ET83" i="4" s="1"/>
  <c r="EW83" i="4" s="1"/>
  <c r="EZ83" i="4" s="1"/>
  <c r="EN78" i="4"/>
  <c r="EQ78" i="4" s="1"/>
  <c r="ET78" i="4" s="1"/>
  <c r="EW78" i="4" s="1"/>
  <c r="EZ78" i="4" s="1"/>
  <c r="EN77" i="4"/>
  <c r="EQ77" i="4" s="1"/>
  <c r="ET77" i="4" s="1"/>
  <c r="EW77" i="4" s="1"/>
  <c r="EZ77" i="4" s="1"/>
  <c r="EN76" i="4"/>
  <c r="EQ76" i="4" s="1"/>
  <c r="ET76" i="4" s="1"/>
  <c r="EW76" i="4" s="1"/>
  <c r="EZ76" i="4" s="1"/>
  <c r="EN71" i="4"/>
  <c r="EQ71" i="4" s="1"/>
  <c r="ET71" i="4" s="1"/>
  <c r="EW71" i="4" s="1"/>
  <c r="EZ71" i="4" s="1"/>
  <c r="EN67" i="4"/>
  <c r="EQ67" i="4" s="1"/>
  <c r="ET67" i="4" s="1"/>
  <c r="EW67" i="4" s="1"/>
  <c r="EZ67" i="4" s="1"/>
  <c r="EN66" i="4"/>
  <c r="EQ66" i="4" s="1"/>
  <c r="ET66" i="4" s="1"/>
  <c r="EW66" i="4" s="1"/>
  <c r="EZ66" i="4" s="1"/>
  <c r="EN60" i="4"/>
  <c r="EQ60" i="4" s="1"/>
  <c r="ET60" i="4" s="1"/>
  <c r="EW60" i="4" s="1"/>
  <c r="EZ60" i="4" s="1"/>
  <c r="EN56" i="4"/>
  <c r="EQ56" i="4" s="1"/>
  <c r="ET56" i="4" s="1"/>
  <c r="EW56" i="4" s="1"/>
  <c r="EZ56" i="4" s="1"/>
  <c r="EN55" i="4"/>
  <c r="EQ55" i="4" s="1"/>
  <c r="ET55" i="4" s="1"/>
  <c r="EW55" i="4" s="1"/>
  <c r="EZ55" i="4" s="1"/>
  <c r="EN51" i="4"/>
  <c r="EQ51" i="4" s="1"/>
  <c r="ET51" i="4" s="1"/>
  <c r="EW51" i="4" s="1"/>
  <c r="EZ51" i="4" s="1"/>
  <c r="EN45" i="4"/>
  <c r="EQ45" i="4" s="1"/>
  <c r="ET45" i="4" s="1"/>
  <c r="EW45" i="4" s="1"/>
  <c r="EZ45" i="4" s="1"/>
  <c r="EN41" i="4"/>
  <c r="EQ41" i="4" s="1"/>
  <c r="ET41" i="4" s="1"/>
  <c r="EW41" i="4" s="1"/>
  <c r="EZ41" i="4" s="1"/>
  <c r="EN40" i="4"/>
  <c r="EQ40" i="4" s="1"/>
  <c r="ET40" i="4" s="1"/>
  <c r="EW40" i="4" s="1"/>
  <c r="EZ40" i="4" s="1"/>
  <c r="EN37" i="4"/>
  <c r="EQ37" i="4" s="1"/>
  <c r="ET37" i="4" s="1"/>
  <c r="EW37" i="4" s="1"/>
  <c r="EZ37" i="4" s="1"/>
  <c r="EN31" i="4"/>
  <c r="EQ31" i="4" s="1"/>
  <c r="ET31" i="4" s="1"/>
  <c r="EW31" i="4" s="1"/>
  <c r="EZ31" i="4" s="1"/>
  <c r="EN30" i="4"/>
  <c r="EQ30" i="4" s="1"/>
  <c r="ET30" i="4" s="1"/>
  <c r="EW30" i="4" s="1"/>
  <c r="EZ30" i="4" s="1"/>
  <c r="EN29" i="4"/>
  <c r="EQ29" i="4" s="1"/>
  <c r="ET29" i="4" s="1"/>
  <c r="EW29" i="4" s="1"/>
  <c r="EZ29" i="4" s="1"/>
  <c r="EN26" i="4"/>
  <c r="EQ26" i="4" s="1"/>
  <c r="ET26" i="4" s="1"/>
  <c r="EW26" i="4" s="1"/>
  <c r="EZ26" i="4" s="1"/>
  <c r="EN25" i="4"/>
  <c r="EQ25" i="4" s="1"/>
  <c r="ET25" i="4" s="1"/>
  <c r="EW25" i="4" s="1"/>
  <c r="EZ25" i="4" s="1"/>
  <c r="EN21" i="4"/>
  <c r="EQ21" i="4" s="1"/>
  <c r="ET21" i="4" s="1"/>
  <c r="EW21" i="4" s="1"/>
  <c r="EZ21" i="4" s="1"/>
  <c r="EN18" i="4"/>
  <c r="EQ18" i="4" s="1"/>
  <c r="ET18" i="4" s="1"/>
  <c r="EW18" i="4" s="1"/>
  <c r="EZ18" i="4" s="1"/>
  <c r="EN17" i="4"/>
  <c r="EQ17" i="4" s="1"/>
  <c r="ET17" i="4" s="1"/>
  <c r="EW17" i="4" s="1"/>
  <c r="EZ17" i="4" s="1"/>
  <c r="EN16" i="4"/>
  <c r="EQ16" i="4" s="1"/>
  <c r="ET16" i="4" s="1"/>
  <c r="EW16" i="4" s="1"/>
  <c r="EZ16" i="4" s="1"/>
  <c r="EN15" i="4"/>
  <c r="EQ15" i="4" s="1"/>
  <c r="ET15" i="4" s="1"/>
  <c r="EW15" i="4" s="1"/>
  <c r="EZ15" i="4" s="1"/>
  <c r="EN14" i="4"/>
  <c r="EQ14" i="4" s="1"/>
  <c r="ET14" i="4" s="1"/>
  <c r="EW14" i="4" s="1"/>
  <c r="EZ14" i="4" s="1"/>
  <c r="EN13" i="4"/>
  <c r="EQ13" i="4" s="1"/>
  <c r="ET13" i="4" s="1"/>
  <c r="EW13" i="4" s="1"/>
  <c r="EZ13" i="4" s="1"/>
  <c r="EN12" i="4"/>
  <c r="EQ12" i="4" s="1"/>
  <c r="ET12" i="4" s="1"/>
  <c r="EW12" i="4" s="1"/>
  <c r="EZ12" i="4" s="1"/>
  <c r="EN11" i="4"/>
  <c r="EQ11" i="4" s="1"/>
  <c r="ET11" i="4" s="1"/>
  <c r="EW11" i="4" s="1"/>
  <c r="EZ11" i="4" s="1"/>
  <c r="EN10" i="4"/>
  <c r="EQ10" i="4" s="1"/>
  <c r="ET10" i="4" s="1"/>
  <c r="EW10" i="4" s="1"/>
  <c r="EZ10" i="4" s="1"/>
  <c r="EN9" i="4"/>
  <c r="EQ9" i="4" s="1"/>
  <c r="ET9" i="4" s="1"/>
  <c r="EW9" i="4" s="1"/>
  <c r="EZ9" i="4" s="1"/>
  <c r="EN8" i="4"/>
  <c r="EQ8" i="4" s="1"/>
  <c r="ET8" i="4" s="1"/>
  <c r="EW8" i="4" s="1"/>
  <c r="EZ8" i="4" s="1"/>
  <c r="EN7" i="4"/>
  <c r="EQ7" i="4" s="1"/>
  <c r="ET7" i="4" s="1"/>
  <c r="EW7" i="4" s="1"/>
  <c r="EZ7" i="4" s="1"/>
  <c r="EN6" i="4"/>
  <c r="EQ6" i="4" s="1"/>
  <c r="ET6" i="4" s="1"/>
  <c r="EW6" i="4" s="1"/>
  <c r="EZ6" i="4" s="1"/>
  <c r="EN5" i="4"/>
  <c r="H27" i="66"/>
  <c r="F27" i="66"/>
  <c r="E27" i="66"/>
  <c r="D27" i="66"/>
  <c r="C27" i="66"/>
  <c r="D13" i="66"/>
  <c r="D12" i="66"/>
  <c r="E6" i="68" l="1"/>
  <c r="E6" i="69"/>
  <c r="K8" i="67"/>
  <c r="K8" i="69"/>
  <c r="K6" i="68"/>
  <c r="K6" i="69"/>
  <c r="N5" i="68"/>
  <c r="N5" i="69"/>
  <c r="N8" i="68"/>
  <c r="N8" i="69"/>
  <c r="H6" i="68"/>
  <c r="H6" i="69"/>
  <c r="N7" i="68"/>
  <c r="N7" i="69"/>
  <c r="H7" i="66"/>
  <c r="H7" i="69"/>
  <c r="H5" i="66"/>
  <c r="H5" i="69"/>
  <c r="K7" i="67"/>
  <c r="K7" i="69"/>
  <c r="K5" i="67"/>
  <c r="K9" i="67" s="1"/>
  <c r="K5" i="69"/>
  <c r="Q14" i="69"/>
  <c r="O27" i="69"/>
  <c r="R19" i="69"/>
  <c r="R27" i="69" s="1"/>
  <c r="EY27" i="4"/>
  <c r="EY35" i="4" s="1"/>
  <c r="EQ5" i="4"/>
  <c r="EQ22" i="4" s="1"/>
  <c r="EN126" i="4"/>
  <c r="HA53" i="5"/>
  <c r="GZ355" i="5"/>
  <c r="GZ1" i="5" s="1"/>
  <c r="GT355" i="5"/>
  <c r="GT1" i="5" s="1"/>
  <c r="GK353" i="5"/>
  <c r="H6" i="67"/>
  <c r="EW105" i="4"/>
  <c r="EZ105" i="4" s="1"/>
  <c r="ET99" i="4"/>
  <c r="L7" i="69" s="1"/>
  <c r="EW97" i="4"/>
  <c r="H5" i="68"/>
  <c r="H6" i="66"/>
  <c r="H5" i="67"/>
  <c r="H7" i="67"/>
  <c r="K5" i="68"/>
  <c r="K8" i="68"/>
  <c r="H7" i="68"/>
  <c r="E6" i="67"/>
  <c r="K7" i="68"/>
  <c r="I27" i="68"/>
  <c r="D14" i="68"/>
  <c r="GQ351" i="5"/>
  <c r="GQ353" i="5"/>
  <c r="GQ350" i="5"/>
  <c r="N12" i="69" s="1"/>
  <c r="O27" i="68"/>
  <c r="L27" i="68"/>
  <c r="EV124" i="4"/>
  <c r="EV1" i="4" s="1"/>
  <c r="EW35" i="4"/>
  <c r="D14" i="67"/>
  <c r="I27" i="67"/>
  <c r="L19" i="67"/>
  <c r="L27" i="67" s="1"/>
  <c r="ES124" i="4"/>
  <c r="ES1" i="4" s="1"/>
  <c r="ET35" i="4"/>
  <c r="L8" i="69" s="1"/>
  <c r="GN350" i="5"/>
  <c r="GN353" i="5"/>
  <c r="GN351" i="5"/>
  <c r="GK351" i="5"/>
  <c r="GK350" i="5"/>
  <c r="EQ99" i="4"/>
  <c r="EP124" i="4"/>
  <c r="EP1" i="4" s="1"/>
  <c r="EQ35" i="4"/>
  <c r="GH350" i="5"/>
  <c r="K12" i="69" s="1"/>
  <c r="GH353" i="5"/>
  <c r="K13" i="69" s="1"/>
  <c r="GH351" i="5"/>
  <c r="GE351" i="5"/>
  <c r="GE357" i="5"/>
  <c r="EM35" i="4"/>
  <c r="H8" i="69" s="1"/>
  <c r="EN99" i="4"/>
  <c r="I7" i="69" s="1"/>
  <c r="I27" i="66"/>
  <c r="EN35" i="4"/>
  <c r="I8" i="69" s="1"/>
  <c r="GE353" i="5"/>
  <c r="H13" i="69" s="1"/>
  <c r="GE350" i="5"/>
  <c r="H12" i="69" s="1"/>
  <c r="EN22" i="4"/>
  <c r="I5" i="69" s="1"/>
  <c r="D14" i="66"/>
  <c r="N9" i="68" l="1"/>
  <c r="EY124" i="4"/>
  <c r="EY1" i="4" s="1"/>
  <c r="Q8" i="69"/>
  <c r="Q9" i="69" s="1"/>
  <c r="Q29" i="69" s="1"/>
  <c r="N9" i="69"/>
  <c r="K9" i="69"/>
  <c r="O8" i="68"/>
  <c r="O8" i="69"/>
  <c r="EZ27" i="4"/>
  <c r="EZ35" i="4" s="1"/>
  <c r="H9" i="69"/>
  <c r="GN355" i="5"/>
  <c r="GN1" i="5" s="1"/>
  <c r="GK355" i="5"/>
  <c r="GK1" i="5" s="1"/>
  <c r="K14" i="69"/>
  <c r="K29" i="69" s="1"/>
  <c r="H14" i="69"/>
  <c r="N13" i="68"/>
  <c r="N13" i="69"/>
  <c r="N14" i="69" s="1"/>
  <c r="ET5" i="4"/>
  <c r="EQ126" i="4"/>
  <c r="EW99" i="4"/>
  <c r="EZ97" i="4"/>
  <c r="EZ99" i="4" s="1"/>
  <c r="K9" i="68"/>
  <c r="GH355" i="5"/>
  <c r="GH1" i="5" s="1"/>
  <c r="K12" i="68"/>
  <c r="K12" i="67"/>
  <c r="H12" i="67"/>
  <c r="H12" i="68"/>
  <c r="K13" i="68"/>
  <c r="K13" i="67"/>
  <c r="L7" i="68"/>
  <c r="L7" i="67"/>
  <c r="I5" i="66"/>
  <c r="I5" i="67"/>
  <c r="I5" i="68"/>
  <c r="L8" i="68"/>
  <c r="L8" i="67"/>
  <c r="I8" i="66"/>
  <c r="I8" i="67"/>
  <c r="I8" i="68"/>
  <c r="I7" i="66"/>
  <c r="I7" i="67"/>
  <c r="I7" i="68"/>
  <c r="H8" i="66"/>
  <c r="H9" i="66" s="1"/>
  <c r="H8" i="67"/>
  <c r="H9" i="67" s="1"/>
  <c r="H8" i="68"/>
  <c r="H9" i="68" s="1"/>
  <c r="H13" i="66"/>
  <c r="H13" i="67"/>
  <c r="H13" i="68"/>
  <c r="GQ355" i="5"/>
  <c r="GQ1" i="5" s="1"/>
  <c r="N12" i="68"/>
  <c r="EM124" i="4"/>
  <c r="EM1" i="4" s="1"/>
  <c r="GE355" i="5"/>
  <c r="GE1" i="5" s="1"/>
  <c r="H12" i="66"/>
  <c r="GB357" i="5"/>
  <c r="GB347" i="5"/>
  <c r="GB336" i="5"/>
  <c r="GB331" i="5"/>
  <c r="GB324" i="5"/>
  <c r="GB320" i="5"/>
  <c r="GB316" i="5"/>
  <c r="GC313" i="5"/>
  <c r="GB313" i="5"/>
  <c r="GB312" i="5"/>
  <c r="GB311" i="5"/>
  <c r="GB278" i="5"/>
  <c r="GB247" i="5"/>
  <c r="GB242" i="5"/>
  <c r="GB241" i="5"/>
  <c r="GB240" i="5"/>
  <c r="GB216" i="5"/>
  <c r="GB214" i="5"/>
  <c r="GB212" i="5"/>
  <c r="GB205" i="5"/>
  <c r="GB204" i="5"/>
  <c r="GB203" i="5"/>
  <c r="GB180" i="5"/>
  <c r="GB179" i="5"/>
  <c r="GB168" i="5"/>
  <c r="GB167" i="5"/>
  <c r="GB160" i="5"/>
  <c r="GB159" i="5"/>
  <c r="GB156" i="5"/>
  <c r="GB155" i="5"/>
  <c r="GC148" i="5"/>
  <c r="GB148" i="5"/>
  <c r="GB147" i="5"/>
  <c r="GB146" i="5"/>
  <c r="GC137" i="5"/>
  <c r="GB137" i="5"/>
  <c r="GC136" i="5"/>
  <c r="GB136" i="5"/>
  <c r="GB132" i="5"/>
  <c r="GB131" i="5"/>
  <c r="GB119" i="5"/>
  <c r="GB118" i="5"/>
  <c r="GB117" i="5"/>
  <c r="GB103" i="5"/>
  <c r="GB100" i="5"/>
  <c r="GB97" i="5"/>
  <c r="GB96" i="5"/>
  <c r="GC85" i="5"/>
  <c r="GB85" i="5"/>
  <c r="GB84" i="5"/>
  <c r="GB71" i="5"/>
  <c r="GB70" i="5"/>
  <c r="GB43" i="5"/>
  <c r="GB37" i="5"/>
  <c r="GB31" i="5"/>
  <c r="GB23" i="5"/>
  <c r="GB10" i="5"/>
  <c r="GB8" i="5"/>
  <c r="FY357" i="5"/>
  <c r="FY347" i="5"/>
  <c r="FY336" i="5"/>
  <c r="FY331" i="5"/>
  <c r="FY324" i="5"/>
  <c r="FY320" i="5"/>
  <c r="FY316" i="5"/>
  <c r="FZ313" i="5"/>
  <c r="FY313" i="5"/>
  <c r="FY312" i="5"/>
  <c r="FY311" i="5"/>
  <c r="FY278" i="5"/>
  <c r="FY247" i="5"/>
  <c r="FZ236" i="5"/>
  <c r="GC236" i="5" s="1"/>
  <c r="GF236" i="5" s="1"/>
  <c r="GI236" i="5" s="1"/>
  <c r="GL236" i="5" s="1"/>
  <c r="GO236" i="5" s="1"/>
  <c r="GR236" i="5" s="1"/>
  <c r="GU236" i="5" s="1"/>
  <c r="GX236" i="5" s="1"/>
  <c r="HA236" i="5" s="1"/>
  <c r="FY242" i="5"/>
  <c r="FY241" i="5"/>
  <c r="FY240" i="5"/>
  <c r="FY216" i="5"/>
  <c r="FY214" i="5"/>
  <c r="FY212" i="5"/>
  <c r="FY205" i="5"/>
  <c r="FY204" i="5"/>
  <c r="FY203" i="5"/>
  <c r="FY180" i="5"/>
  <c r="FY179" i="5"/>
  <c r="FY168" i="5"/>
  <c r="FY167" i="5"/>
  <c r="FY160" i="5"/>
  <c r="FY159" i="5"/>
  <c r="FY156" i="5"/>
  <c r="FY155" i="5"/>
  <c r="FZ148" i="5"/>
  <c r="FY148" i="5"/>
  <c r="FY147" i="5"/>
  <c r="FY146" i="5"/>
  <c r="FZ137" i="5"/>
  <c r="FZ136" i="5"/>
  <c r="FY137" i="5"/>
  <c r="FY136" i="5"/>
  <c r="FY132" i="5"/>
  <c r="FY131" i="5"/>
  <c r="FY119" i="5"/>
  <c r="FY118" i="5"/>
  <c r="FY117" i="5"/>
  <c r="FY103" i="5"/>
  <c r="FY100" i="5"/>
  <c r="FY97" i="5"/>
  <c r="FY96" i="5"/>
  <c r="FZ85" i="5"/>
  <c r="FY85" i="5"/>
  <c r="FY84" i="5"/>
  <c r="FY71" i="5"/>
  <c r="FY70" i="5"/>
  <c r="FY43" i="5"/>
  <c r="FY37" i="5"/>
  <c r="FY31" i="5"/>
  <c r="FY25" i="5"/>
  <c r="FY24" i="5"/>
  <c r="FY23" i="5"/>
  <c r="FZ344" i="5"/>
  <c r="GC344" i="5" s="1"/>
  <c r="GF344" i="5" s="1"/>
  <c r="GI344" i="5" s="1"/>
  <c r="GL344" i="5" s="1"/>
  <c r="GO344" i="5" s="1"/>
  <c r="GR344" i="5" s="1"/>
  <c r="GU344" i="5" s="1"/>
  <c r="GX344" i="5" s="1"/>
  <c r="HA344" i="5" s="1"/>
  <c r="FZ343" i="5"/>
  <c r="GC343" i="5" s="1"/>
  <c r="GF343" i="5" s="1"/>
  <c r="GI343" i="5" s="1"/>
  <c r="GL343" i="5" s="1"/>
  <c r="GO343" i="5" s="1"/>
  <c r="GR343" i="5" s="1"/>
  <c r="GU343" i="5" s="1"/>
  <c r="GX343" i="5" s="1"/>
  <c r="HA343" i="5" s="1"/>
  <c r="FZ342" i="5"/>
  <c r="GC342" i="5" s="1"/>
  <c r="GF342" i="5" s="1"/>
  <c r="GI342" i="5" s="1"/>
  <c r="GL342" i="5" s="1"/>
  <c r="GO342" i="5" s="1"/>
  <c r="GR342" i="5" s="1"/>
  <c r="GU342" i="5" s="1"/>
  <c r="GX342" i="5" s="1"/>
  <c r="HA342" i="5" s="1"/>
  <c r="FZ341" i="5"/>
  <c r="GC341" i="5" s="1"/>
  <c r="GF341" i="5" s="1"/>
  <c r="GI341" i="5" s="1"/>
  <c r="GL341" i="5" s="1"/>
  <c r="GO341" i="5" s="1"/>
  <c r="GR341" i="5" s="1"/>
  <c r="GU341" i="5" s="1"/>
  <c r="GX341" i="5" s="1"/>
  <c r="HA341" i="5" s="1"/>
  <c r="FZ340" i="5"/>
  <c r="GC340" i="5" s="1"/>
  <c r="GF340" i="5" s="1"/>
  <c r="GI340" i="5" s="1"/>
  <c r="GL340" i="5" s="1"/>
  <c r="GO340" i="5" s="1"/>
  <c r="GR340" i="5" s="1"/>
  <c r="GU340" i="5" s="1"/>
  <c r="GX340" i="5" s="1"/>
  <c r="HA340" i="5" s="1"/>
  <c r="FZ332" i="5"/>
  <c r="GC332" i="5" s="1"/>
  <c r="GF332" i="5" s="1"/>
  <c r="GI332" i="5" s="1"/>
  <c r="GL332" i="5" s="1"/>
  <c r="GO332" i="5" s="1"/>
  <c r="GR332" i="5" s="1"/>
  <c r="GU332" i="5" s="1"/>
  <c r="GX332" i="5" s="1"/>
  <c r="HA332" i="5" s="1"/>
  <c r="FZ325" i="5"/>
  <c r="FZ331" i="5" s="1"/>
  <c r="FZ321" i="5"/>
  <c r="FZ324" i="5" s="1"/>
  <c r="FZ317" i="5"/>
  <c r="FZ320" i="5" s="1"/>
  <c r="FZ315" i="5"/>
  <c r="GC315" i="5" s="1"/>
  <c r="GF315" i="5" s="1"/>
  <c r="GI315" i="5" s="1"/>
  <c r="GL315" i="5" s="1"/>
  <c r="GO315" i="5" s="1"/>
  <c r="GR315" i="5" s="1"/>
  <c r="GU315" i="5" s="1"/>
  <c r="GX315" i="5" s="1"/>
  <c r="HA315" i="5" s="1"/>
  <c r="FZ314" i="5"/>
  <c r="GC314" i="5" s="1"/>
  <c r="GF314" i="5" s="1"/>
  <c r="GI314" i="5" s="1"/>
  <c r="FZ309" i="5"/>
  <c r="GC309" i="5" s="1"/>
  <c r="GF309" i="5" s="1"/>
  <c r="GI309" i="5" s="1"/>
  <c r="GL309" i="5" s="1"/>
  <c r="GO309" i="5" s="1"/>
  <c r="GR309" i="5" s="1"/>
  <c r="GU309" i="5" s="1"/>
  <c r="GX309" i="5" s="1"/>
  <c r="HA309" i="5" s="1"/>
  <c r="FZ308" i="5"/>
  <c r="GC308" i="5" s="1"/>
  <c r="GF308" i="5" s="1"/>
  <c r="GI308" i="5" s="1"/>
  <c r="GL308" i="5" s="1"/>
  <c r="GO308" i="5" s="1"/>
  <c r="GR308" i="5" s="1"/>
  <c r="GU308" i="5" s="1"/>
  <c r="GX308" i="5" s="1"/>
  <c r="HA308" i="5" s="1"/>
  <c r="FZ307" i="5"/>
  <c r="GC307" i="5" s="1"/>
  <c r="GF307" i="5" s="1"/>
  <c r="GI307" i="5" s="1"/>
  <c r="GL307" i="5" s="1"/>
  <c r="GO307" i="5" s="1"/>
  <c r="GR307" i="5" s="1"/>
  <c r="GU307" i="5" s="1"/>
  <c r="GX307" i="5" s="1"/>
  <c r="HA307" i="5" s="1"/>
  <c r="FZ306" i="5"/>
  <c r="GC306" i="5" s="1"/>
  <c r="GF306" i="5" s="1"/>
  <c r="GI306" i="5" s="1"/>
  <c r="GL306" i="5" s="1"/>
  <c r="GO306" i="5" s="1"/>
  <c r="GR306" i="5" s="1"/>
  <c r="GU306" i="5" s="1"/>
  <c r="GX306" i="5" s="1"/>
  <c r="HA306" i="5" s="1"/>
  <c r="FZ305" i="5"/>
  <c r="GC305" i="5" s="1"/>
  <c r="GF305" i="5" s="1"/>
  <c r="GI305" i="5" s="1"/>
  <c r="GL305" i="5" s="1"/>
  <c r="GO305" i="5" s="1"/>
  <c r="GR305" i="5" s="1"/>
  <c r="GU305" i="5" s="1"/>
  <c r="GX305" i="5" s="1"/>
  <c r="HA305" i="5" s="1"/>
  <c r="FZ304" i="5"/>
  <c r="GC304" i="5" s="1"/>
  <c r="GF304" i="5" s="1"/>
  <c r="GI304" i="5" s="1"/>
  <c r="GL304" i="5" s="1"/>
  <c r="GO304" i="5" s="1"/>
  <c r="GR304" i="5" s="1"/>
  <c r="GU304" i="5" s="1"/>
  <c r="GX304" i="5" s="1"/>
  <c r="HA304" i="5" s="1"/>
  <c r="FZ303" i="5"/>
  <c r="GC303" i="5" s="1"/>
  <c r="GF303" i="5" s="1"/>
  <c r="GI303" i="5" s="1"/>
  <c r="GL303" i="5" s="1"/>
  <c r="GO303" i="5" s="1"/>
  <c r="GR303" i="5" s="1"/>
  <c r="GU303" i="5" s="1"/>
  <c r="GX303" i="5" s="1"/>
  <c r="HA303" i="5" s="1"/>
  <c r="FZ302" i="5"/>
  <c r="GC302" i="5" s="1"/>
  <c r="GF302" i="5" s="1"/>
  <c r="GI302" i="5" s="1"/>
  <c r="GL302" i="5" s="1"/>
  <c r="GO302" i="5" s="1"/>
  <c r="GR302" i="5" s="1"/>
  <c r="GU302" i="5" s="1"/>
  <c r="GX302" i="5" s="1"/>
  <c r="HA302" i="5" s="1"/>
  <c r="FZ301" i="5"/>
  <c r="GC301" i="5" s="1"/>
  <c r="GF301" i="5" s="1"/>
  <c r="GI301" i="5" s="1"/>
  <c r="GL301" i="5" s="1"/>
  <c r="GO301" i="5" s="1"/>
  <c r="GR301" i="5" s="1"/>
  <c r="GU301" i="5" s="1"/>
  <c r="GX301" i="5" s="1"/>
  <c r="HA301" i="5" s="1"/>
  <c r="FZ300" i="5"/>
  <c r="FZ312" i="5" s="1"/>
  <c r="FZ299" i="5"/>
  <c r="GC299" i="5" s="1"/>
  <c r="GF299" i="5" s="1"/>
  <c r="GI299" i="5" s="1"/>
  <c r="GL299" i="5" s="1"/>
  <c r="GO299" i="5" s="1"/>
  <c r="GR299" i="5" s="1"/>
  <c r="GU299" i="5" s="1"/>
  <c r="GX299" i="5" s="1"/>
  <c r="HA299" i="5" s="1"/>
  <c r="FZ298" i="5"/>
  <c r="GC298" i="5" s="1"/>
  <c r="GF298" i="5" s="1"/>
  <c r="GI298" i="5" s="1"/>
  <c r="GL298" i="5" s="1"/>
  <c r="GO298" i="5" s="1"/>
  <c r="GR298" i="5" s="1"/>
  <c r="GU298" i="5" s="1"/>
  <c r="GX298" i="5" s="1"/>
  <c r="HA298" i="5" s="1"/>
  <c r="FZ297" i="5"/>
  <c r="GC297" i="5" s="1"/>
  <c r="GF297" i="5" s="1"/>
  <c r="GI297" i="5" s="1"/>
  <c r="GL297" i="5" s="1"/>
  <c r="GO297" i="5" s="1"/>
  <c r="GR297" i="5" s="1"/>
  <c r="GU297" i="5" s="1"/>
  <c r="GX297" i="5" s="1"/>
  <c r="HA297" i="5" s="1"/>
  <c r="FZ296" i="5"/>
  <c r="GC296" i="5" s="1"/>
  <c r="GF296" i="5" s="1"/>
  <c r="GI296" i="5" s="1"/>
  <c r="GL296" i="5" s="1"/>
  <c r="GO296" i="5" s="1"/>
  <c r="GR296" i="5" s="1"/>
  <c r="GU296" i="5" s="1"/>
  <c r="GX296" i="5" s="1"/>
  <c r="HA296" i="5" s="1"/>
  <c r="FZ295" i="5"/>
  <c r="GC295" i="5" s="1"/>
  <c r="GF295" i="5" s="1"/>
  <c r="GI295" i="5" s="1"/>
  <c r="GL295" i="5" s="1"/>
  <c r="GO295" i="5" s="1"/>
  <c r="GR295" i="5" s="1"/>
  <c r="GU295" i="5" s="1"/>
  <c r="GX295" i="5" s="1"/>
  <c r="HA295" i="5" s="1"/>
  <c r="FZ294" i="5"/>
  <c r="GC294" i="5" s="1"/>
  <c r="GF294" i="5" s="1"/>
  <c r="GI294" i="5" s="1"/>
  <c r="GL294" i="5" s="1"/>
  <c r="GO294" i="5" s="1"/>
  <c r="GR294" i="5" s="1"/>
  <c r="GU294" i="5" s="1"/>
  <c r="GX294" i="5" s="1"/>
  <c r="HA294" i="5" s="1"/>
  <c r="FZ293" i="5"/>
  <c r="GC293" i="5" s="1"/>
  <c r="GF293" i="5" s="1"/>
  <c r="GI293" i="5" s="1"/>
  <c r="GL293" i="5" s="1"/>
  <c r="GO293" i="5" s="1"/>
  <c r="GR293" i="5" s="1"/>
  <c r="GU293" i="5" s="1"/>
  <c r="GX293" i="5" s="1"/>
  <c r="HA293" i="5" s="1"/>
  <c r="FZ292" i="5"/>
  <c r="GC292" i="5" s="1"/>
  <c r="GF292" i="5" s="1"/>
  <c r="GI292" i="5" s="1"/>
  <c r="GL292" i="5" s="1"/>
  <c r="GO292" i="5" s="1"/>
  <c r="GR292" i="5" s="1"/>
  <c r="GU292" i="5" s="1"/>
  <c r="GX292" i="5" s="1"/>
  <c r="HA292" i="5" s="1"/>
  <c r="FZ291" i="5"/>
  <c r="GC291" i="5" s="1"/>
  <c r="GF291" i="5" s="1"/>
  <c r="GI291" i="5" s="1"/>
  <c r="GL291" i="5" s="1"/>
  <c r="GO291" i="5" s="1"/>
  <c r="GR291" i="5" s="1"/>
  <c r="GU291" i="5" s="1"/>
  <c r="GX291" i="5" s="1"/>
  <c r="HA291" i="5" s="1"/>
  <c r="FZ289" i="5"/>
  <c r="GC289" i="5" s="1"/>
  <c r="GF289" i="5" s="1"/>
  <c r="GI289" i="5" s="1"/>
  <c r="GL289" i="5" s="1"/>
  <c r="GO289" i="5" s="1"/>
  <c r="GR289" i="5" s="1"/>
  <c r="GU289" i="5" s="1"/>
  <c r="GX289" i="5" s="1"/>
  <c r="HA289" i="5" s="1"/>
  <c r="FZ288" i="5"/>
  <c r="GC288" i="5" s="1"/>
  <c r="GF288" i="5" s="1"/>
  <c r="GI288" i="5" s="1"/>
  <c r="GL288" i="5" s="1"/>
  <c r="GO288" i="5" s="1"/>
  <c r="GR288" i="5" s="1"/>
  <c r="GU288" i="5" s="1"/>
  <c r="GX288" i="5" s="1"/>
  <c r="HA288" i="5" s="1"/>
  <c r="FZ287" i="5"/>
  <c r="GC287" i="5" s="1"/>
  <c r="GF287" i="5" s="1"/>
  <c r="GI287" i="5" s="1"/>
  <c r="GL287" i="5" s="1"/>
  <c r="GO287" i="5" s="1"/>
  <c r="GR287" i="5" s="1"/>
  <c r="GU287" i="5" s="1"/>
  <c r="GX287" i="5" s="1"/>
  <c r="HA287" i="5" s="1"/>
  <c r="FZ286" i="5"/>
  <c r="GC286" i="5" s="1"/>
  <c r="GF286" i="5" s="1"/>
  <c r="GI286" i="5" s="1"/>
  <c r="GL286" i="5" s="1"/>
  <c r="GO286" i="5" s="1"/>
  <c r="GR286" i="5" s="1"/>
  <c r="GU286" i="5" s="1"/>
  <c r="GX286" i="5" s="1"/>
  <c r="HA286" i="5" s="1"/>
  <c r="FZ285" i="5"/>
  <c r="GC285" i="5" s="1"/>
  <c r="GF285" i="5" s="1"/>
  <c r="GI285" i="5" s="1"/>
  <c r="GL285" i="5" s="1"/>
  <c r="GO285" i="5" s="1"/>
  <c r="GR285" i="5" s="1"/>
  <c r="GU285" i="5" s="1"/>
  <c r="GX285" i="5" s="1"/>
  <c r="HA285" i="5" s="1"/>
  <c r="FZ284" i="5"/>
  <c r="GC284" i="5" s="1"/>
  <c r="GF284" i="5" s="1"/>
  <c r="GI284" i="5" s="1"/>
  <c r="GL284" i="5" s="1"/>
  <c r="GO284" i="5" s="1"/>
  <c r="GR284" i="5" s="1"/>
  <c r="GU284" i="5" s="1"/>
  <c r="GX284" i="5" s="1"/>
  <c r="HA284" i="5" s="1"/>
  <c r="FZ283" i="5"/>
  <c r="GC283" i="5" s="1"/>
  <c r="GF283" i="5" s="1"/>
  <c r="GI283" i="5" s="1"/>
  <c r="GL283" i="5" s="1"/>
  <c r="GO283" i="5" s="1"/>
  <c r="GR283" i="5" s="1"/>
  <c r="GU283" i="5" s="1"/>
  <c r="GX283" i="5" s="1"/>
  <c r="HA283" i="5" s="1"/>
  <c r="FZ282" i="5"/>
  <c r="GC282" i="5" s="1"/>
  <c r="GF282" i="5" s="1"/>
  <c r="GI282" i="5" s="1"/>
  <c r="GL282" i="5" s="1"/>
  <c r="GO282" i="5" s="1"/>
  <c r="GR282" i="5" s="1"/>
  <c r="GU282" i="5" s="1"/>
  <c r="GX282" i="5" s="1"/>
  <c r="HA282" i="5" s="1"/>
  <c r="FZ281" i="5"/>
  <c r="GC281" i="5" s="1"/>
  <c r="GF281" i="5" s="1"/>
  <c r="GI281" i="5" s="1"/>
  <c r="GL281" i="5" s="1"/>
  <c r="GO281" i="5" s="1"/>
  <c r="GR281" i="5" s="1"/>
  <c r="GU281" i="5" s="1"/>
  <c r="GX281" i="5" s="1"/>
  <c r="HA281" i="5" s="1"/>
  <c r="FZ280" i="5"/>
  <c r="GC280" i="5" s="1"/>
  <c r="GF280" i="5" s="1"/>
  <c r="GI280" i="5" s="1"/>
  <c r="GL280" i="5" s="1"/>
  <c r="GO280" i="5" s="1"/>
  <c r="GR280" i="5" s="1"/>
  <c r="GU280" i="5" s="1"/>
  <c r="GX280" i="5" s="1"/>
  <c r="HA280" i="5" s="1"/>
  <c r="FZ279" i="5"/>
  <c r="GC279" i="5" s="1"/>
  <c r="GF279" i="5" s="1"/>
  <c r="GI279" i="5" s="1"/>
  <c r="GL279" i="5" s="1"/>
  <c r="FZ276" i="5"/>
  <c r="GC276" i="5" s="1"/>
  <c r="GF276" i="5" s="1"/>
  <c r="GI276" i="5" s="1"/>
  <c r="GL276" i="5" s="1"/>
  <c r="GO276" i="5" s="1"/>
  <c r="GR276" i="5" s="1"/>
  <c r="GU276" i="5" s="1"/>
  <c r="GX276" i="5" s="1"/>
  <c r="HA276" i="5" s="1"/>
  <c r="FZ275" i="5"/>
  <c r="GC275" i="5" s="1"/>
  <c r="GF275" i="5" s="1"/>
  <c r="GI275" i="5" s="1"/>
  <c r="GL275" i="5" s="1"/>
  <c r="GO275" i="5" s="1"/>
  <c r="GR275" i="5" s="1"/>
  <c r="GU275" i="5" s="1"/>
  <c r="GX275" i="5" s="1"/>
  <c r="HA275" i="5" s="1"/>
  <c r="FZ274" i="5"/>
  <c r="GC274" i="5" s="1"/>
  <c r="GF274" i="5" s="1"/>
  <c r="GI274" i="5" s="1"/>
  <c r="GL274" i="5" s="1"/>
  <c r="GO274" i="5" s="1"/>
  <c r="GR274" i="5" s="1"/>
  <c r="GU274" i="5" s="1"/>
  <c r="GX274" i="5" s="1"/>
  <c r="HA274" i="5" s="1"/>
  <c r="FZ273" i="5"/>
  <c r="GC273" i="5" s="1"/>
  <c r="GF273" i="5" s="1"/>
  <c r="GI273" i="5" s="1"/>
  <c r="GL273" i="5" s="1"/>
  <c r="GO273" i="5" s="1"/>
  <c r="GR273" i="5" s="1"/>
  <c r="GU273" i="5" s="1"/>
  <c r="GX273" i="5" s="1"/>
  <c r="HA273" i="5" s="1"/>
  <c r="FZ272" i="5"/>
  <c r="GC272" i="5" s="1"/>
  <c r="GF272" i="5" s="1"/>
  <c r="GI272" i="5" s="1"/>
  <c r="GL272" i="5" s="1"/>
  <c r="GO272" i="5" s="1"/>
  <c r="GR272" i="5" s="1"/>
  <c r="GU272" i="5" s="1"/>
  <c r="GX272" i="5" s="1"/>
  <c r="HA272" i="5" s="1"/>
  <c r="FZ270" i="5"/>
  <c r="GC270" i="5" s="1"/>
  <c r="GF270" i="5" s="1"/>
  <c r="GI270" i="5" s="1"/>
  <c r="GL270" i="5" s="1"/>
  <c r="GO270" i="5" s="1"/>
  <c r="GR270" i="5" s="1"/>
  <c r="GU270" i="5" s="1"/>
  <c r="GX270" i="5" s="1"/>
  <c r="HA270" i="5" s="1"/>
  <c r="FZ269" i="5"/>
  <c r="GC269" i="5" s="1"/>
  <c r="GF269" i="5" s="1"/>
  <c r="GI269" i="5" s="1"/>
  <c r="GL269" i="5" s="1"/>
  <c r="GO269" i="5" s="1"/>
  <c r="GR269" i="5" s="1"/>
  <c r="GU269" i="5" s="1"/>
  <c r="GX269" i="5" s="1"/>
  <c r="HA269" i="5" s="1"/>
  <c r="FZ268" i="5"/>
  <c r="GC268" i="5" s="1"/>
  <c r="GF268" i="5" s="1"/>
  <c r="GI268" i="5" s="1"/>
  <c r="GL268" i="5" s="1"/>
  <c r="GO268" i="5" s="1"/>
  <c r="GR268" i="5" s="1"/>
  <c r="GU268" i="5" s="1"/>
  <c r="GX268" i="5" s="1"/>
  <c r="HA268" i="5" s="1"/>
  <c r="FZ267" i="5"/>
  <c r="GC267" i="5" s="1"/>
  <c r="GF267" i="5" s="1"/>
  <c r="GI267" i="5" s="1"/>
  <c r="GL267" i="5" s="1"/>
  <c r="GO267" i="5" s="1"/>
  <c r="GR267" i="5" s="1"/>
  <c r="GU267" i="5" s="1"/>
  <c r="GX267" i="5" s="1"/>
  <c r="HA267" i="5" s="1"/>
  <c r="FZ266" i="5"/>
  <c r="GC266" i="5" s="1"/>
  <c r="GF266" i="5" s="1"/>
  <c r="GI266" i="5" s="1"/>
  <c r="GL266" i="5" s="1"/>
  <c r="GO266" i="5" s="1"/>
  <c r="GR266" i="5" s="1"/>
  <c r="GU266" i="5" s="1"/>
  <c r="GX266" i="5" s="1"/>
  <c r="HA266" i="5" s="1"/>
  <c r="FZ264" i="5"/>
  <c r="GC264" i="5" s="1"/>
  <c r="GF264" i="5" s="1"/>
  <c r="GI264" i="5" s="1"/>
  <c r="GL264" i="5" s="1"/>
  <c r="FZ263" i="5"/>
  <c r="GC263" i="5" s="1"/>
  <c r="GF263" i="5" s="1"/>
  <c r="GI263" i="5" s="1"/>
  <c r="GL263" i="5" s="1"/>
  <c r="GO263" i="5" s="1"/>
  <c r="GR263" i="5" s="1"/>
  <c r="GU263" i="5" s="1"/>
  <c r="GX263" i="5" s="1"/>
  <c r="HA263" i="5" s="1"/>
  <c r="FZ262" i="5"/>
  <c r="GC262" i="5" s="1"/>
  <c r="GF262" i="5" s="1"/>
  <c r="GI262" i="5" s="1"/>
  <c r="GL262" i="5" s="1"/>
  <c r="GO262" i="5" s="1"/>
  <c r="GR262" i="5" s="1"/>
  <c r="GU262" i="5" s="1"/>
  <c r="GX262" i="5" s="1"/>
  <c r="HA262" i="5" s="1"/>
  <c r="FZ258" i="5"/>
  <c r="GC258" i="5" s="1"/>
  <c r="GF258" i="5" s="1"/>
  <c r="GI258" i="5" s="1"/>
  <c r="GL258" i="5" s="1"/>
  <c r="GO258" i="5" s="1"/>
  <c r="GR258" i="5" s="1"/>
  <c r="GU258" i="5" s="1"/>
  <c r="GX258" i="5" s="1"/>
  <c r="HA258" i="5" s="1"/>
  <c r="FZ255" i="5"/>
  <c r="GC255" i="5" s="1"/>
  <c r="GF255" i="5" s="1"/>
  <c r="GI255" i="5" s="1"/>
  <c r="GL255" i="5" s="1"/>
  <c r="GO255" i="5" s="1"/>
  <c r="GR255" i="5" s="1"/>
  <c r="GU255" i="5" s="1"/>
  <c r="FZ254" i="5"/>
  <c r="GC254" i="5" s="1"/>
  <c r="GF254" i="5" s="1"/>
  <c r="GI254" i="5" s="1"/>
  <c r="GL254" i="5" s="1"/>
  <c r="GO254" i="5" s="1"/>
  <c r="GR254" i="5" s="1"/>
  <c r="GU254" i="5" s="1"/>
  <c r="FZ252" i="5"/>
  <c r="GC252" i="5" s="1"/>
  <c r="GF252" i="5" s="1"/>
  <c r="GI252" i="5" s="1"/>
  <c r="GL252" i="5" s="1"/>
  <c r="GO252" i="5" s="1"/>
  <c r="GR252" i="5" s="1"/>
  <c r="GU252" i="5" s="1"/>
  <c r="FZ251" i="5"/>
  <c r="GC251" i="5" s="1"/>
  <c r="GF251" i="5" s="1"/>
  <c r="GI251" i="5" s="1"/>
  <c r="GL251" i="5" s="1"/>
  <c r="GO251" i="5" s="1"/>
  <c r="GR251" i="5" s="1"/>
  <c r="GU251" i="5" s="1"/>
  <c r="GX251" i="5" s="1"/>
  <c r="HA251" i="5" s="1"/>
  <c r="FZ250" i="5"/>
  <c r="GC250" i="5" s="1"/>
  <c r="GF250" i="5" s="1"/>
  <c r="GI250" i="5" s="1"/>
  <c r="GL250" i="5" s="1"/>
  <c r="GO250" i="5" s="1"/>
  <c r="GR250" i="5" s="1"/>
  <c r="GU250" i="5" s="1"/>
  <c r="GX250" i="5" s="1"/>
  <c r="HA250" i="5" s="1"/>
  <c r="FZ249" i="5"/>
  <c r="GC249" i="5" s="1"/>
  <c r="GF249" i="5" s="1"/>
  <c r="GI249" i="5" s="1"/>
  <c r="GL249" i="5" s="1"/>
  <c r="GO249" i="5" s="1"/>
  <c r="GR249" i="5" s="1"/>
  <c r="GU249" i="5" s="1"/>
  <c r="GX249" i="5" s="1"/>
  <c r="HA249" i="5" s="1"/>
  <c r="FZ248" i="5"/>
  <c r="GC248" i="5" s="1"/>
  <c r="GF248" i="5" s="1"/>
  <c r="GI248" i="5" s="1"/>
  <c r="GL248" i="5" s="1"/>
  <c r="GO248" i="5" s="1"/>
  <c r="FZ245" i="5"/>
  <c r="GC245" i="5" s="1"/>
  <c r="GF245" i="5" s="1"/>
  <c r="GI245" i="5" s="1"/>
  <c r="GL245" i="5" s="1"/>
  <c r="GO245" i="5" s="1"/>
  <c r="GR245" i="5" s="1"/>
  <c r="GU245" i="5" s="1"/>
  <c r="GX245" i="5" s="1"/>
  <c r="HA245" i="5" s="1"/>
  <c r="FZ244" i="5"/>
  <c r="GC244" i="5" s="1"/>
  <c r="GF244" i="5" s="1"/>
  <c r="GI244" i="5" s="1"/>
  <c r="GL244" i="5" s="1"/>
  <c r="GO244" i="5" s="1"/>
  <c r="GR244" i="5" s="1"/>
  <c r="GU244" i="5" s="1"/>
  <c r="GX244" i="5" s="1"/>
  <c r="HA244" i="5" s="1"/>
  <c r="FZ243" i="5"/>
  <c r="GC243" i="5" s="1"/>
  <c r="GF243" i="5" s="1"/>
  <c r="GI243" i="5" s="1"/>
  <c r="FZ237" i="5"/>
  <c r="GC237" i="5" s="1"/>
  <c r="GF237" i="5" s="1"/>
  <c r="GI237" i="5" s="1"/>
  <c r="GL237" i="5" s="1"/>
  <c r="GO237" i="5" s="1"/>
  <c r="FZ235" i="5"/>
  <c r="GC235" i="5" s="1"/>
  <c r="FZ234" i="5"/>
  <c r="GC234" i="5" s="1"/>
  <c r="GF234" i="5" s="1"/>
  <c r="GI234" i="5" s="1"/>
  <c r="GL234" i="5" s="1"/>
  <c r="GO234" i="5" s="1"/>
  <c r="GR234" i="5" s="1"/>
  <c r="GU234" i="5" s="1"/>
  <c r="GX234" i="5" s="1"/>
  <c r="HA234" i="5" s="1"/>
  <c r="FZ233" i="5"/>
  <c r="GC233" i="5" s="1"/>
  <c r="GF233" i="5" s="1"/>
  <c r="GI233" i="5" s="1"/>
  <c r="GL233" i="5" s="1"/>
  <c r="GO233" i="5" s="1"/>
  <c r="GR233" i="5" s="1"/>
  <c r="GU233" i="5" s="1"/>
  <c r="GX233" i="5" s="1"/>
  <c r="HA233" i="5" s="1"/>
  <c r="FZ232" i="5"/>
  <c r="GC232" i="5" s="1"/>
  <c r="GF232" i="5" s="1"/>
  <c r="GI232" i="5" s="1"/>
  <c r="GL232" i="5" s="1"/>
  <c r="GO232" i="5" s="1"/>
  <c r="GR232" i="5" s="1"/>
  <c r="GU232" i="5" s="1"/>
  <c r="GX232" i="5" s="1"/>
  <c r="HA232" i="5" s="1"/>
  <c r="FZ230" i="5"/>
  <c r="GC230" i="5" s="1"/>
  <c r="GF230" i="5" s="1"/>
  <c r="GI230" i="5" s="1"/>
  <c r="GL230" i="5" s="1"/>
  <c r="GO230" i="5" s="1"/>
  <c r="GR230" i="5" s="1"/>
  <c r="GU230" i="5" s="1"/>
  <c r="GX230" i="5" s="1"/>
  <c r="HA230" i="5" s="1"/>
  <c r="FZ229" i="5"/>
  <c r="GC229" i="5" s="1"/>
  <c r="GF229" i="5" s="1"/>
  <c r="GI229" i="5" s="1"/>
  <c r="GL229" i="5" s="1"/>
  <c r="GO229" i="5" s="1"/>
  <c r="GR229" i="5" s="1"/>
  <c r="GU229" i="5" s="1"/>
  <c r="GX229" i="5" s="1"/>
  <c r="HA229" i="5" s="1"/>
  <c r="FZ228" i="5"/>
  <c r="FZ241" i="5" s="1"/>
  <c r="FZ227" i="5"/>
  <c r="GC227" i="5" s="1"/>
  <c r="GF227" i="5" s="1"/>
  <c r="GI227" i="5" s="1"/>
  <c r="GL227" i="5" s="1"/>
  <c r="GO227" i="5" s="1"/>
  <c r="GR227" i="5" s="1"/>
  <c r="GU227" i="5" s="1"/>
  <c r="GX227" i="5" s="1"/>
  <c r="HA227" i="5" s="1"/>
  <c r="FZ226" i="5"/>
  <c r="GC226" i="5" s="1"/>
  <c r="GF226" i="5" s="1"/>
  <c r="GI226" i="5" s="1"/>
  <c r="GL226" i="5" s="1"/>
  <c r="GO226" i="5" s="1"/>
  <c r="GR226" i="5" s="1"/>
  <c r="GU226" i="5" s="1"/>
  <c r="GX226" i="5" s="1"/>
  <c r="HA226" i="5" s="1"/>
  <c r="FZ225" i="5"/>
  <c r="GC225" i="5" s="1"/>
  <c r="GF225" i="5" s="1"/>
  <c r="GI225" i="5" s="1"/>
  <c r="GL225" i="5" s="1"/>
  <c r="GO225" i="5" s="1"/>
  <c r="GR225" i="5" s="1"/>
  <c r="GU225" i="5" s="1"/>
  <c r="GX225" i="5" s="1"/>
  <c r="HA225" i="5" s="1"/>
  <c r="FZ224" i="5"/>
  <c r="GC224" i="5" s="1"/>
  <c r="GF224" i="5" s="1"/>
  <c r="GI224" i="5" s="1"/>
  <c r="GL224" i="5" s="1"/>
  <c r="GO224" i="5" s="1"/>
  <c r="GR224" i="5" s="1"/>
  <c r="GU224" i="5" s="1"/>
  <c r="GX224" i="5" s="1"/>
  <c r="HA224" i="5" s="1"/>
  <c r="FZ223" i="5"/>
  <c r="GC223" i="5" s="1"/>
  <c r="GF223" i="5" s="1"/>
  <c r="GI223" i="5" s="1"/>
  <c r="GL223" i="5" s="1"/>
  <c r="GO223" i="5" s="1"/>
  <c r="GR223" i="5" s="1"/>
  <c r="GU223" i="5" s="1"/>
  <c r="GX223" i="5" s="1"/>
  <c r="HA223" i="5" s="1"/>
  <c r="FZ222" i="5"/>
  <c r="GC222" i="5" s="1"/>
  <c r="GF222" i="5" s="1"/>
  <c r="GI222" i="5" s="1"/>
  <c r="GL222" i="5" s="1"/>
  <c r="GO222" i="5" s="1"/>
  <c r="GR222" i="5" s="1"/>
  <c r="GU222" i="5" s="1"/>
  <c r="GX222" i="5" s="1"/>
  <c r="HA222" i="5" s="1"/>
  <c r="FZ221" i="5"/>
  <c r="GC221" i="5" s="1"/>
  <c r="GF221" i="5" s="1"/>
  <c r="GI221" i="5" s="1"/>
  <c r="GL221" i="5" s="1"/>
  <c r="GO221" i="5" s="1"/>
  <c r="GR221" i="5" s="1"/>
  <c r="GU221" i="5" s="1"/>
  <c r="GX221" i="5" s="1"/>
  <c r="HA221" i="5" s="1"/>
  <c r="FZ220" i="5"/>
  <c r="GC220" i="5" s="1"/>
  <c r="GF220" i="5" s="1"/>
  <c r="GI220" i="5" s="1"/>
  <c r="GL220" i="5" s="1"/>
  <c r="GO220" i="5" s="1"/>
  <c r="GR220" i="5" s="1"/>
  <c r="GU220" i="5" s="1"/>
  <c r="GX220" i="5" s="1"/>
  <c r="HA220" i="5" s="1"/>
  <c r="FZ218" i="5"/>
  <c r="GC218" i="5" s="1"/>
  <c r="GF218" i="5" s="1"/>
  <c r="GI218" i="5" s="1"/>
  <c r="GL218" i="5" s="1"/>
  <c r="GO218" i="5" s="1"/>
  <c r="GR218" i="5" s="1"/>
  <c r="GU218" i="5" s="1"/>
  <c r="GX218" i="5" s="1"/>
  <c r="HA218" i="5" s="1"/>
  <c r="FZ217" i="5"/>
  <c r="GC217" i="5" s="1"/>
  <c r="GF217" i="5" s="1"/>
  <c r="GI217" i="5" s="1"/>
  <c r="GL217" i="5" s="1"/>
  <c r="FZ215" i="5"/>
  <c r="FZ216" i="5" s="1"/>
  <c r="FZ213" i="5"/>
  <c r="FZ214" i="5" s="1"/>
  <c r="FZ208" i="5"/>
  <c r="GC208" i="5" s="1"/>
  <c r="GF208" i="5" s="1"/>
  <c r="GI208" i="5" s="1"/>
  <c r="GL208" i="5" s="1"/>
  <c r="GO208" i="5" s="1"/>
  <c r="GR208" i="5" s="1"/>
  <c r="GU208" i="5" s="1"/>
  <c r="GX208" i="5" s="1"/>
  <c r="HA208" i="5" s="1"/>
  <c r="FZ207" i="5"/>
  <c r="GC207" i="5" s="1"/>
  <c r="GF207" i="5" s="1"/>
  <c r="GI207" i="5" s="1"/>
  <c r="GL207" i="5" s="1"/>
  <c r="GO207" i="5" s="1"/>
  <c r="GR207" i="5" s="1"/>
  <c r="GU207" i="5" s="1"/>
  <c r="GX207" i="5" s="1"/>
  <c r="HA207" i="5" s="1"/>
  <c r="FZ206" i="5"/>
  <c r="GC206" i="5" s="1"/>
  <c r="GF206" i="5" s="1"/>
  <c r="GI206" i="5" s="1"/>
  <c r="GL206" i="5" s="1"/>
  <c r="FZ200" i="5"/>
  <c r="GC200" i="5" s="1"/>
  <c r="GF200" i="5" s="1"/>
  <c r="GI200" i="5" s="1"/>
  <c r="GL200" i="5" s="1"/>
  <c r="FZ198" i="5"/>
  <c r="GC198" i="5" s="1"/>
  <c r="GF198" i="5" s="1"/>
  <c r="GI198" i="5" s="1"/>
  <c r="FZ197" i="5"/>
  <c r="GC197" i="5" s="1"/>
  <c r="GF197" i="5" s="1"/>
  <c r="GI197" i="5" s="1"/>
  <c r="GL197" i="5" s="1"/>
  <c r="GO197" i="5" s="1"/>
  <c r="GR197" i="5" s="1"/>
  <c r="GU197" i="5" s="1"/>
  <c r="GX197" i="5" s="1"/>
  <c r="HA197" i="5" s="1"/>
  <c r="FZ195" i="5"/>
  <c r="GC195" i="5" s="1"/>
  <c r="GF195" i="5" s="1"/>
  <c r="GI195" i="5" s="1"/>
  <c r="GL195" i="5" s="1"/>
  <c r="GO195" i="5" s="1"/>
  <c r="GR195" i="5" s="1"/>
  <c r="GU195" i="5" s="1"/>
  <c r="GX195" i="5" s="1"/>
  <c r="HA195" i="5" s="1"/>
  <c r="FZ194" i="5"/>
  <c r="FZ204" i="5" s="1"/>
  <c r="FZ193" i="5"/>
  <c r="GC193" i="5" s="1"/>
  <c r="GF193" i="5" s="1"/>
  <c r="GI193" i="5" s="1"/>
  <c r="GL193" i="5" s="1"/>
  <c r="GO193" i="5" s="1"/>
  <c r="GR193" i="5" s="1"/>
  <c r="GU193" i="5" s="1"/>
  <c r="GX193" i="5" s="1"/>
  <c r="HA193" i="5" s="1"/>
  <c r="FZ192" i="5"/>
  <c r="GC192" i="5" s="1"/>
  <c r="GF192" i="5" s="1"/>
  <c r="GI192" i="5" s="1"/>
  <c r="GL192" i="5" s="1"/>
  <c r="GO192" i="5" s="1"/>
  <c r="GR192" i="5" s="1"/>
  <c r="GU192" i="5" s="1"/>
  <c r="GX192" i="5" s="1"/>
  <c r="HA192" i="5" s="1"/>
  <c r="FZ191" i="5"/>
  <c r="GC191" i="5" s="1"/>
  <c r="GF191" i="5" s="1"/>
  <c r="GI191" i="5" s="1"/>
  <c r="GL191" i="5" s="1"/>
  <c r="GO191" i="5" s="1"/>
  <c r="GR191" i="5" s="1"/>
  <c r="GU191" i="5" s="1"/>
  <c r="GX191" i="5" s="1"/>
  <c r="HA191" i="5" s="1"/>
  <c r="FZ190" i="5"/>
  <c r="GC190" i="5" s="1"/>
  <c r="GF190" i="5" s="1"/>
  <c r="GI190" i="5" s="1"/>
  <c r="GL190" i="5" s="1"/>
  <c r="GO190" i="5" s="1"/>
  <c r="GR190" i="5" s="1"/>
  <c r="GU190" i="5" s="1"/>
  <c r="GX190" i="5" s="1"/>
  <c r="HA190" i="5" s="1"/>
  <c r="FZ189" i="5"/>
  <c r="GC189" i="5" s="1"/>
  <c r="GF189" i="5" s="1"/>
  <c r="GI189" i="5" s="1"/>
  <c r="GL189" i="5" s="1"/>
  <c r="GO189" i="5" s="1"/>
  <c r="GR189" i="5" s="1"/>
  <c r="GU189" i="5" s="1"/>
  <c r="GX189" i="5" s="1"/>
  <c r="HA189" i="5" s="1"/>
  <c r="FZ188" i="5"/>
  <c r="GC188" i="5" s="1"/>
  <c r="GF188" i="5" s="1"/>
  <c r="GI188" i="5" s="1"/>
  <c r="GL188" i="5" s="1"/>
  <c r="GO188" i="5" s="1"/>
  <c r="GR188" i="5" s="1"/>
  <c r="GU188" i="5" s="1"/>
  <c r="GX188" i="5" s="1"/>
  <c r="HA188" i="5" s="1"/>
  <c r="FZ187" i="5"/>
  <c r="GC187" i="5" s="1"/>
  <c r="GF187" i="5" s="1"/>
  <c r="GI187" i="5" s="1"/>
  <c r="GL187" i="5" s="1"/>
  <c r="GO187" i="5" s="1"/>
  <c r="GR187" i="5" s="1"/>
  <c r="GU187" i="5" s="1"/>
  <c r="GX187" i="5" s="1"/>
  <c r="HA187" i="5" s="1"/>
  <c r="FZ186" i="5"/>
  <c r="GC186" i="5" s="1"/>
  <c r="GF186" i="5" s="1"/>
  <c r="GI186" i="5" s="1"/>
  <c r="GL186" i="5" s="1"/>
  <c r="GO186" i="5" s="1"/>
  <c r="GR186" i="5" s="1"/>
  <c r="GU186" i="5" s="1"/>
  <c r="GX186" i="5" s="1"/>
  <c r="HA186" i="5" s="1"/>
  <c r="FZ185" i="5"/>
  <c r="GC185" i="5" s="1"/>
  <c r="GF185" i="5" s="1"/>
  <c r="GI185" i="5" s="1"/>
  <c r="GL185" i="5" s="1"/>
  <c r="GO185" i="5" s="1"/>
  <c r="FZ184" i="5"/>
  <c r="GC184" i="5" s="1"/>
  <c r="GF184" i="5" s="1"/>
  <c r="GI184" i="5" s="1"/>
  <c r="GL184" i="5" s="1"/>
  <c r="GO184" i="5" s="1"/>
  <c r="GR184" i="5" s="1"/>
  <c r="GU184" i="5" s="1"/>
  <c r="GX184" i="5" s="1"/>
  <c r="HA184" i="5" s="1"/>
  <c r="FZ183" i="5"/>
  <c r="GC183" i="5" s="1"/>
  <c r="GF183" i="5" s="1"/>
  <c r="GI183" i="5" s="1"/>
  <c r="GL183" i="5" s="1"/>
  <c r="GO183" i="5" s="1"/>
  <c r="GR183" i="5" s="1"/>
  <c r="GU183" i="5" s="1"/>
  <c r="GX183" i="5" s="1"/>
  <c r="HA183" i="5" s="1"/>
  <c r="FZ182" i="5"/>
  <c r="GC182" i="5" s="1"/>
  <c r="GF182" i="5" s="1"/>
  <c r="GI182" i="5" s="1"/>
  <c r="GL182" i="5" s="1"/>
  <c r="GO182" i="5" s="1"/>
  <c r="GR182" i="5" s="1"/>
  <c r="GU182" i="5" s="1"/>
  <c r="GX182" i="5" s="1"/>
  <c r="HA182" i="5" s="1"/>
  <c r="FZ181" i="5"/>
  <c r="GC181" i="5" s="1"/>
  <c r="GF181" i="5" s="1"/>
  <c r="GI181" i="5" s="1"/>
  <c r="GL181" i="5" s="1"/>
  <c r="FZ176" i="5"/>
  <c r="GC176" i="5" s="1"/>
  <c r="GF176" i="5" s="1"/>
  <c r="GI176" i="5" s="1"/>
  <c r="FZ175" i="5"/>
  <c r="GC175" i="5" s="1"/>
  <c r="GF175" i="5" s="1"/>
  <c r="GI175" i="5" s="1"/>
  <c r="GL175" i="5" s="1"/>
  <c r="GO175" i="5" s="1"/>
  <c r="GR175" i="5" s="1"/>
  <c r="GU175" i="5" s="1"/>
  <c r="GX175" i="5" s="1"/>
  <c r="HA175" i="5" s="1"/>
  <c r="FZ173" i="5"/>
  <c r="GC173" i="5" s="1"/>
  <c r="GF173" i="5" s="1"/>
  <c r="GI173" i="5" s="1"/>
  <c r="GL173" i="5" s="1"/>
  <c r="FZ172" i="5"/>
  <c r="GC172" i="5" s="1"/>
  <c r="GF172" i="5" s="1"/>
  <c r="GI172" i="5" s="1"/>
  <c r="GL172" i="5" s="1"/>
  <c r="GO172" i="5" s="1"/>
  <c r="FZ171" i="5"/>
  <c r="GC171" i="5" s="1"/>
  <c r="GF171" i="5" s="1"/>
  <c r="GI171" i="5" s="1"/>
  <c r="GL171" i="5" s="1"/>
  <c r="FZ169" i="5"/>
  <c r="GC169" i="5" s="1"/>
  <c r="GF169" i="5" s="1"/>
  <c r="GI169" i="5" s="1"/>
  <c r="GL169" i="5" s="1"/>
  <c r="GO169" i="5" s="1"/>
  <c r="GR169" i="5" s="1"/>
  <c r="GU169" i="5" s="1"/>
  <c r="GX169" i="5" s="1"/>
  <c r="HA169" i="5" s="1"/>
  <c r="FZ164" i="5"/>
  <c r="GC164" i="5" s="1"/>
  <c r="GF164" i="5" s="1"/>
  <c r="GI164" i="5" s="1"/>
  <c r="GL164" i="5" s="1"/>
  <c r="FZ162" i="5"/>
  <c r="GC162" i="5" s="1"/>
  <c r="GF162" i="5" s="1"/>
  <c r="GI162" i="5" s="1"/>
  <c r="GL162" i="5" s="1"/>
  <c r="GO162" i="5" s="1"/>
  <c r="FZ161" i="5"/>
  <c r="FZ167" i="5" s="1"/>
  <c r="FZ158" i="5"/>
  <c r="FZ159" i="5" s="1"/>
  <c r="FZ157" i="5"/>
  <c r="FZ160" i="5" s="1"/>
  <c r="FZ153" i="5"/>
  <c r="FZ156" i="5" s="1"/>
  <c r="FZ152" i="5"/>
  <c r="GC152" i="5" s="1"/>
  <c r="GF152" i="5" s="1"/>
  <c r="GI152" i="5" s="1"/>
  <c r="GL152" i="5" s="1"/>
  <c r="GO152" i="5" s="1"/>
  <c r="GR152" i="5" s="1"/>
  <c r="GU152" i="5" s="1"/>
  <c r="GX152" i="5" s="1"/>
  <c r="HA152" i="5" s="1"/>
  <c r="FZ151" i="5"/>
  <c r="GC151" i="5" s="1"/>
  <c r="GF151" i="5" s="1"/>
  <c r="GI151" i="5" s="1"/>
  <c r="GL151" i="5" s="1"/>
  <c r="FZ149" i="5"/>
  <c r="GC149" i="5" s="1"/>
  <c r="GF149" i="5" s="1"/>
  <c r="GI149" i="5" s="1"/>
  <c r="GL149" i="5" s="1"/>
  <c r="GO149" i="5" s="1"/>
  <c r="FZ143" i="5"/>
  <c r="FZ147" i="5" s="1"/>
  <c r="FZ142" i="5"/>
  <c r="GC142" i="5" s="1"/>
  <c r="GF142" i="5" s="1"/>
  <c r="GI142" i="5" s="1"/>
  <c r="GL142" i="5" s="1"/>
  <c r="GO142" i="5" s="1"/>
  <c r="GR142" i="5" s="1"/>
  <c r="GU142" i="5" s="1"/>
  <c r="GX142" i="5" s="1"/>
  <c r="HA142" i="5" s="1"/>
  <c r="FZ140" i="5"/>
  <c r="GC140" i="5" s="1"/>
  <c r="GF140" i="5" s="1"/>
  <c r="GI140" i="5" s="1"/>
  <c r="GL140" i="5" s="1"/>
  <c r="GO140" i="5" s="1"/>
  <c r="GR140" i="5" s="1"/>
  <c r="GU140" i="5" s="1"/>
  <c r="GX140" i="5" s="1"/>
  <c r="HA140" i="5" s="1"/>
  <c r="FZ138" i="5"/>
  <c r="GC138" i="5" s="1"/>
  <c r="GF138" i="5" s="1"/>
  <c r="GI138" i="5" s="1"/>
  <c r="GL138" i="5" s="1"/>
  <c r="FZ128" i="5"/>
  <c r="GC128" i="5" s="1"/>
  <c r="GF128" i="5" s="1"/>
  <c r="GI128" i="5" s="1"/>
  <c r="GL128" i="5" s="1"/>
  <c r="GO128" i="5" s="1"/>
  <c r="GR128" i="5" s="1"/>
  <c r="GU128" i="5" s="1"/>
  <c r="GX128" i="5" s="1"/>
  <c r="HA128" i="5" s="1"/>
  <c r="FZ127" i="5"/>
  <c r="GC127" i="5" s="1"/>
  <c r="GF127" i="5" s="1"/>
  <c r="GI127" i="5" s="1"/>
  <c r="GL127" i="5" s="1"/>
  <c r="GO127" i="5" s="1"/>
  <c r="GR127" i="5" s="1"/>
  <c r="GU127" i="5" s="1"/>
  <c r="GX127" i="5" s="1"/>
  <c r="HA127" i="5" s="1"/>
  <c r="FZ126" i="5"/>
  <c r="GC126" i="5" s="1"/>
  <c r="GF126" i="5" s="1"/>
  <c r="GI126" i="5" s="1"/>
  <c r="GL126" i="5" s="1"/>
  <c r="GO126" i="5" s="1"/>
  <c r="GR126" i="5" s="1"/>
  <c r="GU126" i="5" s="1"/>
  <c r="GX126" i="5" s="1"/>
  <c r="HA126" i="5" s="1"/>
  <c r="FZ125" i="5"/>
  <c r="FZ132" i="5" s="1"/>
  <c r="FZ124" i="5"/>
  <c r="GC124" i="5" s="1"/>
  <c r="GF124" i="5" s="1"/>
  <c r="GI124" i="5" s="1"/>
  <c r="GL124" i="5" s="1"/>
  <c r="GO124" i="5" s="1"/>
  <c r="GR124" i="5" s="1"/>
  <c r="GU124" i="5" s="1"/>
  <c r="GX124" i="5" s="1"/>
  <c r="HA124" i="5" s="1"/>
  <c r="FZ123" i="5"/>
  <c r="GC123" i="5" s="1"/>
  <c r="GF123" i="5" s="1"/>
  <c r="GI123" i="5" s="1"/>
  <c r="GL123" i="5" s="1"/>
  <c r="GO123" i="5" s="1"/>
  <c r="FZ122" i="5"/>
  <c r="GC122" i="5" s="1"/>
  <c r="GF122" i="5" s="1"/>
  <c r="GI122" i="5" s="1"/>
  <c r="GL122" i="5" s="1"/>
  <c r="FZ121" i="5"/>
  <c r="GC121" i="5" s="1"/>
  <c r="GF121" i="5" s="1"/>
  <c r="GI121" i="5" s="1"/>
  <c r="GL121" i="5" s="1"/>
  <c r="GO121" i="5" s="1"/>
  <c r="GR121" i="5" s="1"/>
  <c r="GU121" i="5" s="1"/>
  <c r="GX121" i="5" s="1"/>
  <c r="HA121" i="5" s="1"/>
  <c r="FZ120" i="5"/>
  <c r="GC120" i="5" s="1"/>
  <c r="GF120" i="5" s="1"/>
  <c r="GI120" i="5" s="1"/>
  <c r="GL120" i="5" s="1"/>
  <c r="GO120" i="5" s="1"/>
  <c r="GR120" i="5" s="1"/>
  <c r="GU120" i="5" s="1"/>
  <c r="GX120" i="5" s="1"/>
  <c r="HA120" i="5" s="1"/>
  <c r="FZ115" i="5"/>
  <c r="GC115" i="5" s="1"/>
  <c r="GF115" i="5" s="1"/>
  <c r="GI115" i="5" s="1"/>
  <c r="FZ114" i="5"/>
  <c r="GC114" i="5" s="1"/>
  <c r="GF114" i="5" s="1"/>
  <c r="GI114" i="5" s="1"/>
  <c r="GL114" i="5" s="1"/>
  <c r="FZ113" i="5"/>
  <c r="FZ118" i="5" s="1"/>
  <c r="FZ112" i="5"/>
  <c r="GC112" i="5" s="1"/>
  <c r="GF112" i="5" s="1"/>
  <c r="GI112" i="5" s="1"/>
  <c r="GL112" i="5" s="1"/>
  <c r="GO112" i="5" s="1"/>
  <c r="GR112" i="5" s="1"/>
  <c r="GU112" i="5" s="1"/>
  <c r="GX112" i="5" s="1"/>
  <c r="HA112" i="5" s="1"/>
  <c r="FZ111" i="5"/>
  <c r="GC111" i="5" s="1"/>
  <c r="GF111" i="5" s="1"/>
  <c r="GI111" i="5" s="1"/>
  <c r="GL111" i="5" s="1"/>
  <c r="GO111" i="5" s="1"/>
  <c r="GR111" i="5" s="1"/>
  <c r="GU111" i="5" s="1"/>
  <c r="GX111" i="5" s="1"/>
  <c r="HA111" i="5" s="1"/>
  <c r="FZ110" i="5"/>
  <c r="GC110" i="5" s="1"/>
  <c r="GF110" i="5" s="1"/>
  <c r="GI110" i="5" s="1"/>
  <c r="GL110" i="5" s="1"/>
  <c r="GO110" i="5" s="1"/>
  <c r="GR110" i="5" s="1"/>
  <c r="GU110" i="5" s="1"/>
  <c r="GX110" i="5" s="1"/>
  <c r="HA110" i="5" s="1"/>
  <c r="FZ109" i="5"/>
  <c r="GC109" i="5" s="1"/>
  <c r="GF109" i="5" s="1"/>
  <c r="GI109" i="5" s="1"/>
  <c r="GL109" i="5" s="1"/>
  <c r="GO109" i="5" s="1"/>
  <c r="GR109" i="5" s="1"/>
  <c r="GU109" i="5" s="1"/>
  <c r="GX109" i="5" s="1"/>
  <c r="HA109" i="5" s="1"/>
  <c r="FZ108" i="5"/>
  <c r="GC108" i="5" s="1"/>
  <c r="GF108" i="5" s="1"/>
  <c r="GI108" i="5" s="1"/>
  <c r="GL108" i="5" s="1"/>
  <c r="GO108" i="5" s="1"/>
  <c r="GR108" i="5" s="1"/>
  <c r="GU108" i="5" s="1"/>
  <c r="GX108" i="5" s="1"/>
  <c r="HA108" i="5" s="1"/>
  <c r="FZ107" i="5"/>
  <c r="GC107" i="5" s="1"/>
  <c r="GF107" i="5" s="1"/>
  <c r="GI107" i="5" s="1"/>
  <c r="GL107" i="5" s="1"/>
  <c r="GO107" i="5" s="1"/>
  <c r="GR107" i="5" s="1"/>
  <c r="GU107" i="5" s="1"/>
  <c r="GX107" i="5" s="1"/>
  <c r="HA107" i="5" s="1"/>
  <c r="FZ106" i="5"/>
  <c r="GC106" i="5" s="1"/>
  <c r="GF106" i="5" s="1"/>
  <c r="GI106" i="5" s="1"/>
  <c r="GL106" i="5" s="1"/>
  <c r="GO106" i="5" s="1"/>
  <c r="GR106" i="5" s="1"/>
  <c r="GU106" i="5" s="1"/>
  <c r="GX106" i="5" s="1"/>
  <c r="HA106" i="5" s="1"/>
  <c r="FZ105" i="5"/>
  <c r="GC105" i="5" s="1"/>
  <c r="GF105" i="5" s="1"/>
  <c r="GI105" i="5" s="1"/>
  <c r="GL105" i="5" s="1"/>
  <c r="GO105" i="5" s="1"/>
  <c r="GR105" i="5" s="1"/>
  <c r="GU105" i="5" s="1"/>
  <c r="GX105" i="5" s="1"/>
  <c r="HA105" i="5" s="1"/>
  <c r="FZ104" i="5"/>
  <c r="GC104" i="5" s="1"/>
  <c r="GF104" i="5" s="1"/>
  <c r="GI104" i="5" s="1"/>
  <c r="GL104" i="5" s="1"/>
  <c r="FZ102" i="5"/>
  <c r="FZ103" i="5" s="1"/>
  <c r="FZ99" i="5"/>
  <c r="FZ100" i="5" s="1"/>
  <c r="FZ94" i="5"/>
  <c r="FZ97" i="5" s="1"/>
  <c r="FZ93" i="5"/>
  <c r="GC93" i="5" s="1"/>
  <c r="GF93" i="5" s="1"/>
  <c r="GI93" i="5" s="1"/>
  <c r="GL93" i="5" s="1"/>
  <c r="GO93" i="5" s="1"/>
  <c r="GR93" i="5" s="1"/>
  <c r="GU93" i="5" s="1"/>
  <c r="GX93" i="5" s="1"/>
  <c r="HA93" i="5" s="1"/>
  <c r="FZ92" i="5"/>
  <c r="GC92" i="5" s="1"/>
  <c r="GF92" i="5" s="1"/>
  <c r="GI92" i="5" s="1"/>
  <c r="GL92" i="5" s="1"/>
  <c r="GO92" i="5" s="1"/>
  <c r="GR92" i="5" s="1"/>
  <c r="GU92" i="5" s="1"/>
  <c r="GX92" i="5" s="1"/>
  <c r="HA92" i="5" s="1"/>
  <c r="FZ91" i="5"/>
  <c r="GC91" i="5" s="1"/>
  <c r="GF91" i="5" s="1"/>
  <c r="GI91" i="5" s="1"/>
  <c r="GL91" i="5" s="1"/>
  <c r="GO91" i="5" s="1"/>
  <c r="GR91" i="5" s="1"/>
  <c r="GU91" i="5" s="1"/>
  <c r="GX91" i="5" s="1"/>
  <c r="HA91" i="5" s="1"/>
  <c r="FZ90" i="5"/>
  <c r="GC90" i="5" s="1"/>
  <c r="GF90" i="5" s="1"/>
  <c r="GI90" i="5" s="1"/>
  <c r="GL90" i="5" s="1"/>
  <c r="GO90" i="5" s="1"/>
  <c r="FZ89" i="5"/>
  <c r="GC89" i="5" s="1"/>
  <c r="GF89" i="5" s="1"/>
  <c r="GI89" i="5" s="1"/>
  <c r="GL89" i="5" s="1"/>
  <c r="GO89" i="5" s="1"/>
  <c r="GR89" i="5" s="1"/>
  <c r="GU89" i="5" s="1"/>
  <c r="GX89" i="5" s="1"/>
  <c r="HA89" i="5" s="1"/>
  <c r="FZ88" i="5"/>
  <c r="GC88" i="5" s="1"/>
  <c r="GF88" i="5" s="1"/>
  <c r="GI88" i="5" s="1"/>
  <c r="GL88" i="5" s="1"/>
  <c r="GO88" i="5" s="1"/>
  <c r="GR88" i="5" s="1"/>
  <c r="GU88" i="5" s="1"/>
  <c r="GX88" i="5" s="1"/>
  <c r="HA88" i="5" s="1"/>
  <c r="FZ87" i="5"/>
  <c r="GC87" i="5" s="1"/>
  <c r="GF87" i="5" s="1"/>
  <c r="GI87" i="5" s="1"/>
  <c r="GL87" i="5" s="1"/>
  <c r="GO87" i="5" s="1"/>
  <c r="GR87" i="5" s="1"/>
  <c r="GU87" i="5" s="1"/>
  <c r="GX87" i="5" s="1"/>
  <c r="HA87" i="5" s="1"/>
  <c r="FZ80" i="5"/>
  <c r="GC80" i="5" s="1"/>
  <c r="GF80" i="5" s="1"/>
  <c r="GI80" i="5" s="1"/>
  <c r="GL80" i="5" s="1"/>
  <c r="GO80" i="5" s="1"/>
  <c r="GR80" i="5" s="1"/>
  <c r="GU80" i="5" s="1"/>
  <c r="GX80" i="5" s="1"/>
  <c r="HA80" i="5" s="1"/>
  <c r="FZ79" i="5"/>
  <c r="GC79" i="5" s="1"/>
  <c r="GF79" i="5" s="1"/>
  <c r="GI79" i="5" s="1"/>
  <c r="GL79" i="5" s="1"/>
  <c r="GO79" i="5" s="1"/>
  <c r="GR79" i="5" s="1"/>
  <c r="GU79" i="5" s="1"/>
  <c r="GX79" i="5" s="1"/>
  <c r="HA79" i="5" s="1"/>
  <c r="FZ78" i="5"/>
  <c r="GC78" i="5" s="1"/>
  <c r="GF78" i="5" s="1"/>
  <c r="GI78" i="5" s="1"/>
  <c r="GL78" i="5" s="1"/>
  <c r="GO78" i="5" s="1"/>
  <c r="GR78" i="5" s="1"/>
  <c r="GU78" i="5" s="1"/>
  <c r="GX78" i="5" s="1"/>
  <c r="HA78" i="5" s="1"/>
  <c r="FZ77" i="5"/>
  <c r="GC77" i="5" s="1"/>
  <c r="GF77" i="5" s="1"/>
  <c r="GI77" i="5" s="1"/>
  <c r="GL77" i="5" s="1"/>
  <c r="GO77" i="5" s="1"/>
  <c r="FZ76" i="5"/>
  <c r="GC76" i="5" s="1"/>
  <c r="GF76" i="5" s="1"/>
  <c r="GI76" i="5" s="1"/>
  <c r="GL76" i="5" s="1"/>
  <c r="FZ75" i="5"/>
  <c r="GC75" i="5" s="1"/>
  <c r="GF75" i="5" s="1"/>
  <c r="GI75" i="5" s="1"/>
  <c r="GL75" i="5" s="1"/>
  <c r="GO75" i="5" s="1"/>
  <c r="GR75" i="5" s="1"/>
  <c r="GU75" i="5" s="1"/>
  <c r="GX75" i="5" s="1"/>
  <c r="HA75" i="5" s="1"/>
  <c r="FZ72" i="5"/>
  <c r="GC72" i="5" s="1"/>
  <c r="GF72" i="5" s="1"/>
  <c r="GI72" i="5" s="1"/>
  <c r="GL72" i="5" s="1"/>
  <c r="GO72" i="5" s="1"/>
  <c r="GR72" i="5" s="1"/>
  <c r="GU72" i="5" s="1"/>
  <c r="GX72" i="5" s="1"/>
  <c r="HA72" i="5" s="1"/>
  <c r="FZ67" i="5"/>
  <c r="GC67" i="5" s="1"/>
  <c r="GF67" i="5" s="1"/>
  <c r="GI67" i="5" s="1"/>
  <c r="GL67" i="5" s="1"/>
  <c r="GO67" i="5" s="1"/>
  <c r="GR67" i="5" s="1"/>
  <c r="GU67" i="5" s="1"/>
  <c r="GX67" i="5" s="1"/>
  <c r="HA67" i="5" s="1"/>
  <c r="FZ62" i="5"/>
  <c r="FZ71" i="5" s="1"/>
  <c r="FZ48" i="5"/>
  <c r="GC48" i="5" s="1"/>
  <c r="GF48" i="5" s="1"/>
  <c r="GI48" i="5" s="1"/>
  <c r="GL48" i="5" s="1"/>
  <c r="FZ39" i="5"/>
  <c r="GC39" i="5" s="1"/>
  <c r="GF39" i="5" s="1"/>
  <c r="GI39" i="5" s="1"/>
  <c r="GL39" i="5" s="1"/>
  <c r="GO39" i="5" s="1"/>
  <c r="GR39" i="5" s="1"/>
  <c r="GU39" i="5" s="1"/>
  <c r="GX39" i="5" s="1"/>
  <c r="HA39" i="5" s="1"/>
  <c r="FZ34" i="5"/>
  <c r="GC34" i="5" s="1"/>
  <c r="GF34" i="5" s="1"/>
  <c r="GI34" i="5" s="1"/>
  <c r="GL34" i="5" s="1"/>
  <c r="FZ33" i="5"/>
  <c r="GC33" i="5" s="1"/>
  <c r="GF33" i="5" s="1"/>
  <c r="GI33" i="5" s="1"/>
  <c r="GL33" i="5" s="1"/>
  <c r="GO33" i="5" s="1"/>
  <c r="GR33" i="5" s="1"/>
  <c r="GU33" i="5" s="1"/>
  <c r="GX33" i="5" s="1"/>
  <c r="HA33" i="5" s="1"/>
  <c r="FZ32" i="5"/>
  <c r="GC32" i="5" s="1"/>
  <c r="GF32" i="5" s="1"/>
  <c r="GI32" i="5" s="1"/>
  <c r="GL32" i="5" s="1"/>
  <c r="GO32" i="5" s="1"/>
  <c r="FZ26" i="5"/>
  <c r="FZ31" i="5" s="1"/>
  <c r="FZ20" i="5"/>
  <c r="GC20" i="5" s="1"/>
  <c r="GF20" i="5" s="1"/>
  <c r="GI20" i="5" s="1"/>
  <c r="GL20" i="5" s="1"/>
  <c r="GO20" i="5" s="1"/>
  <c r="GR20" i="5" s="1"/>
  <c r="GU20" i="5" s="1"/>
  <c r="GX20" i="5" s="1"/>
  <c r="HA20" i="5" s="1"/>
  <c r="FZ18" i="5"/>
  <c r="GC18" i="5" s="1"/>
  <c r="GF18" i="5" s="1"/>
  <c r="GI18" i="5" s="1"/>
  <c r="GL18" i="5" s="1"/>
  <c r="FZ14" i="5"/>
  <c r="GC14" i="5" s="1"/>
  <c r="FZ13" i="5"/>
  <c r="FZ24" i="5" s="1"/>
  <c r="FZ12" i="5"/>
  <c r="GC12" i="5" s="1"/>
  <c r="GF12" i="5" s="1"/>
  <c r="GI12" i="5" s="1"/>
  <c r="GL12" i="5" s="1"/>
  <c r="GO12" i="5" s="1"/>
  <c r="FZ11" i="5"/>
  <c r="GC11" i="5" s="1"/>
  <c r="GF11" i="5" s="1"/>
  <c r="GI11" i="5" s="1"/>
  <c r="GL11" i="5" s="1"/>
  <c r="GO11" i="5" s="1"/>
  <c r="GR11" i="5" s="1"/>
  <c r="GU11" i="5" s="1"/>
  <c r="GX11" i="5" s="1"/>
  <c r="HA11" i="5" s="1"/>
  <c r="FZ9" i="5"/>
  <c r="FZ10" i="5" s="1"/>
  <c r="FZ5" i="5"/>
  <c r="FZ8" i="5" s="1"/>
  <c r="FY10" i="5"/>
  <c r="FY8" i="5"/>
  <c r="F16" i="65"/>
  <c r="E16" i="65"/>
  <c r="C16" i="65"/>
  <c r="D15" i="65"/>
  <c r="D16" i="65" s="1"/>
  <c r="C15" i="65"/>
  <c r="D14" i="65"/>
  <c r="C14" i="65"/>
  <c r="F13" i="65"/>
  <c r="E13" i="65"/>
  <c r="F10" i="65"/>
  <c r="E10" i="65"/>
  <c r="EI99" i="4"/>
  <c r="E7" i="69" s="1"/>
  <c r="C14" i="62"/>
  <c r="K16" i="69" l="1"/>
  <c r="Q16" i="69"/>
  <c r="D8" i="63"/>
  <c r="R8" i="69"/>
  <c r="D7" i="63"/>
  <c r="R7" i="69"/>
  <c r="O7" i="68"/>
  <c r="O7" i="69"/>
  <c r="N14" i="68"/>
  <c r="N29" i="68" s="1"/>
  <c r="N29" i="69"/>
  <c r="N16" i="69"/>
  <c r="H16" i="69"/>
  <c r="H29" i="69"/>
  <c r="ET126" i="4"/>
  <c r="ET22" i="4"/>
  <c r="L5" i="69" s="1"/>
  <c r="EW5" i="4"/>
  <c r="GW255" i="5"/>
  <c r="GX255" i="5" s="1"/>
  <c r="HA255" i="5" s="1"/>
  <c r="GW254" i="5"/>
  <c r="GX254" i="5" s="1"/>
  <c r="HA254" i="5" s="1"/>
  <c r="GW252" i="5"/>
  <c r="GX252" i="5" s="1"/>
  <c r="HA252" i="5" s="1"/>
  <c r="H14" i="67"/>
  <c r="H29" i="67" s="1"/>
  <c r="H14" i="68"/>
  <c r="H29" i="68" s="1"/>
  <c r="GL84" i="5"/>
  <c r="GO76" i="5"/>
  <c r="GR76" i="5" s="1"/>
  <c r="GU76" i="5" s="1"/>
  <c r="GR77" i="5"/>
  <c r="GU77" i="5" s="1"/>
  <c r="GX77" i="5" s="1"/>
  <c r="HA77" i="5" s="1"/>
  <c r="GI119" i="5"/>
  <c r="GL115" i="5"/>
  <c r="GO115" i="5" s="1"/>
  <c r="GL179" i="5"/>
  <c r="GO171" i="5"/>
  <c r="GR171" i="5" s="1"/>
  <c r="GU171" i="5" s="1"/>
  <c r="GR32" i="5"/>
  <c r="GU32" i="5" s="1"/>
  <c r="GX32" i="5" s="1"/>
  <c r="HA32" i="5" s="1"/>
  <c r="GO104" i="5"/>
  <c r="GR172" i="5"/>
  <c r="GU172" i="5" s="1"/>
  <c r="GX172" i="5" s="1"/>
  <c r="HA172" i="5" s="1"/>
  <c r="GR248" i="5"/>
  <c r="GU248" i="5" s="1"/>
  <c r="GO200" i="5"/>
  <c r="GR200" i="5" s="1"/>
  <c r="GU200" i="5" s="1"/>
  <c r="GX200" i="5" s="1"/>
  <c r="HA200" i="5" s="1"/>
  <c r="GR149" i="5"/>
  <c r="GU149" i="5" s="1"/>
  <c r="GX149" i="5" s="1"/>
  <c r="HA149" i="5" s="1"/>
  <c r="GO173" i="5"/>
  <c r="GR173" i="5" s="1"/>
  <c r="GU173" i="5" s="1"/>
  <c r="GX173" i="5" s="1"/>
  <c r="HA173" i="5" s="1"/>
  <c r="GO217" i="5"/>
  <c r="GI316" i="5"/>
  <c r="GL314" i="5"/>
  <c r="GR12" i="5"/>
  <c r="GU12" i="5" s="1"/>
  <c r="GX12" i="5" s="1"/>
  <c r="HA12" i="5" s="1"/>
  <c r="GO18" i="5"/>
  <c r="GR18" i="5" s="1"/>
  <c r="GU18" i="5" s="1"/>
  <c r="GX18" i="5" s="1"/>
  <c r="HA18" i="5" s="1"/>
  <c r="GO138" i="5"/>
  <c r="GO164" i="5"/>
  <c r="GR164" i="5" s="1"/>
  <c r="GU164" i="5" s="1"/>
  <c r="GX164" i="5" s="1"/>
  <c r="HA164" i="5" s="1"/>
  <c r="GI247" i="5"/>
  <c r="GL243" i="5"/>
  <c r="GO114" i="5"/>
  <c r="GR114" i="5" s="1"/>
  <c r="GU114" i="5" s="1"/>
  <c r="GX114" i="5" s="1"/>
  <c r="HA114" i="5" s="1"/>
  <c r="GL37" i="5"/>
  <c r="GO34" i="5"/>
  <c r="GR34" i="5" s="1"/>
  <c r="GU34" i="5" s="1"/>
  <c r="GX34" i="5" s="1"/>
  <c r="HA34" i="5" s="1"/>
  <c r="GO151" i="5"/>
  <c r="GR151" i="5" s="1"/>
  <c r="GU151" i="5" s="1"/>
  <c r="GX151" i="5" s="1"/>
  <c r="HA151" i="5" s="1"/>
  <c r="GO181" i="5"/>
  <c r="GR181" i="5" s="1"/>
  <c r="GU181" i="5" s="1"/>
  <c r="GX181" i="5" s="1"/>
  <c r="HA181" i="5" s="1"/>
  <c r="GO122" i="5"/>
  <c r="GR122" i="5" s="1"/>
  <c r="GU122" i="5" s="1"/>
  <c r="GX122" i="5" s="1"/>
  <c r="HA122" i="5" s="1"/>
  <c r="GR123" i="5"/>
  <c r="GU123" i="5" s="1"/>
  <c r="GX123" i="5" s="1"/>
  <c r="HA123" i="5" s="1"/>
  <c r="GI180" i="5"/>
  <c r="GL176" i="5"/>
  <c r="GO176" i="5" s="1"/>
  <c r="GL70" i="5"/>
  <c r="GO48" i="5"/>
  <c r="GR90" i="5"/>
  <c r="GU90" i="5" s="1"/>
  <c r="GX90" i="5" s="1"/>
  <c r="HA90" i="5" s="1"/>
  <c r="GR162" i="5"/>
  <c r="GU162" i="5" s="1"/>
  <c r="GX162" i="5" s="1"/>
  <c r="HA162" i="5" s="1"/>
  <c r="GR185" i="5"/>
  <c r="GU185" i="5" s="1"/>
  <c r="GX185" i="5" s="1"/>
  <c r="HA185" i="5" s="1"/>
  <c r="GI205" i="5"/>
  <c r="GL198" i="5"/>
  <c r="GO198" i="5" s="1"/>
  <c r="GR237" i="5"/>
  <c r="GU237" i="5" s="1"/>
  <c r="GX237" i="5" s="1"/>
  <c r="HA237" i="5" s="1"/>
  <c r="K14" i="67"/>
  <c r="GO279" i="5"/>
  <c r="K14" i="68"/>
  <c r="GL212" i="5"/>
  <c r="GO206" i="5"/>
  <c r="GL278" i="5"/>
  <c r="GO264" i="5"/>
  <c r="GR264" i="5" s="1"/>
  <c r="GU264" i="5" s="1"/>
  <c r="GX264" i="5" s="1"/>
  <c r="HA264" i="5" s="1"/>
  <c r="H14" i="66"/>
  <c r="H16" i="66" s="1"/>
  <c r="E7" i="66"/>
  <c r="E7" i="68"/>
  <c r="E7" i="67"/>
  <c r="GI70" i="5"/>
  <c r="GI84" i="5"/>
  <c r="GI179" i="5"/>
  <c r="GI212" i="5"/>
  <c r="GI37" i="5"/>
  <c r="GI278" i="5"/>
  <c r="GF119" i="5"/>
  <c r="GF84" i="5"/>
  <c r="GF205" i="5"/>
  <c r="GC25" i="5"/>
  <c r="GF14" i="5"/>
  <c r="GC242" i="5"/>
  <c r="GF235" i="5"/>
  <c r="GF179" i="5"/>
  <c r="GF247" i="5"/>
  <c r="GF212" i="5"/>
  <c r="GB353" i="5"/>
  <c r="GF278" i="5"/>
  <c r="GF180" i="5"/>
  <c r="GF37" i="5"/>
  <c r="GF70" i="5"/>
  <c r="GF316" i="5"/>
  <c r="GC102" i="5"/>
  <c r="GC212" i="5"/>
  <c r="GC143" i="5"/>
  <c r="GC215" i="5"/>
  <c r="GC113" i="5"/>
  <c r="GC84" i="5"/>
  <c r="GC228" i="5"/>
  <c r="GC157" i="5"/>
  <c r="GB351" i="5"/>
  <c r="GC13" i="5"/>
  <c r="GC23" i="5" s="1"/>
  <c r="GC37" i="5"/>
  <c r="GC278" i="5"/>
  <c r="GC180" i="5"/>
  <c r="GC70" i="5"/>
  <c r="GC205" i="5"/>
  <c r="GC247" i="5"/>
  <c r="GC316" i="5"/>
  <c r="GC158" i="5"/>
  <c r="GC317" i="5"/>
  <c r="GC179" i="5"/>
  <c r="GC94" i="5"/>
  <c r="GC161" i="5"/>
  <c r="GC321" i="5"/>
  <c r="GB350" i="5"/>
  <c r="GC119" i="5"/>
  <c r="GC5" i="5"/>
  <c r="GC26" i="5"/>
  <c r="GC62" i="5"/>
  <c r="GC325" i="5"/>
  <c r="GC99" i="5"/>
  <c r="GC153" i="5"/>
  <c r="GC194" i="5"/>
  <c r="GC213" i="5"/>
  <c r="GC9" i="5"/>
  <c r="GC300" i="5"/>
  <c r="GC125" i="5"/>
  <c r="FZ205" i="5"/>
  <c r="FZ25" i="5"/>
  <c r="FY353" i="5"/>
  <c r="FZ70" i="5"/>
  <c r="FZ316" i="5"/>
  <c r="FZ155" i="5"/>
  <c r="FZ278" i="5"/>
  <c r="FZ117" i="5"/>
  <c r="FZ23" i="5"/>
  <c r="FZ240" i="5"/>
  <c r="FZ131" i="5"/>
  <c r="FZ180" i="5"/>
  <c r="FZ84" i="5"/>
  <c r="FY351" i="5"/>
  <c r="FZ37" i="5"/>
  <c r="FZ119" i="5"/>
  <c r="FZ146" i="5"/>
  <c r="FZ179" i="5"/>
  <c r="FZ212" i="5"/>
  <c r="FZ247" i="5"/>
  <c r="FZ351" i="5"/>
  <c r="FZ203" i="5"/>
  <c r="FZ242" i="5"/>
  <c r="FY350" i="5"/>
  <c r="FZ311" i="5"/>
  <c r="E17" i="65"/>
  <c r="F17" i="65"/>
  <c r="D14" i="62"/>
  <c r="N16" i="68" l="1"/>
  <c r="GR84" i="5"/>
  <c r="EW126" i="4"/>
  <c r="EZ5" i="4"/>
  <c r="EW22" i="4"/>
  <c r="L5" i="68"/>
  <c r="L5" i="67"/>
  <c r="HA37" i="5"/>
  <c r="GW248" i="5"/>
  <c r="H16" i="67"/>
  <c r="H16" i="68"/>
  <c r="GU84" i="5"/>
  <c r="GX76" i="5"/>
  <c r="GU179" i="5"/>
  <c r="GX171" i="5"/>
  <c r="GL119" i="5"/>
  <c r="GX37" i="5"/>
  <c r="GU278" i="5"/>
  <c r="GU37" i="5"/>
  <c r="GR179" i="5"/>
  <c r="GO84" i="5"/>
  <c r="H29" i="66"/>
  <c r="GO37" i="5"/>
  <c r="GO179" i="5"/>
  <c r="GL180" i="5"/>
  <c r="GR37" i="5"/>
  <c r="K16" i="68"/>
  <c r="K29" i="68"/>
  <c r="GR138" i="5"/>
  <c r="GU138" i="5" s="1"/>
  <c r="GX138" i="5" s="1"/>
  <c r="HA138" i="5" s="1"/>
  <c r="GR279" i="5"/>
  <c r="GU279" i="5" s="1"/>
  <c r="GX279" i="5" s="1"/>
  <c r="HA279" i="5" s="1"/>
  <c r="GL205" i="5"/>
  <c r="K16" i="67"/>
  <c r="K29" i="67"/>
  <c r="GO70" i="5"/>
  <c r="GR48" i="5"/>
  <c r="GR278" i="5"/>
  <c r="GO119" i="5"/>
  <c r="GR115" i="5"/>
  <c r="GO278" i="5"/>
  <c r="GO180" i="5"/>
  <c r="GR176" i="5"/>
  <c r="GL316" i="5"/>
  <c r="GO314" i="5"/>
  <c r="GO205" i="5"/>
  <c r="GR198" i="5"/>
  <c r="GL247" i="5"/>
  <c r="GO243" i="5"/>
  <c r="GR217" i="5"/>
  <c r="GU217" i="5" s="1"/>
  <c r="GX217" i="5" s="1"/>
  <c r="HA217" i="5" s="1"/>
  <c r="GR206" i="5"/>
  <c r="GO212" i="5"/>
  <c r="GR104" i="5"/>
  <c r="GU104" i="5" s="1"/>
  <c r="GX104" i="5" s="1"/>
  <c r="HA104" i="5" s="1"/>
  <c r="GF25" i="5"/>
  <c r="GI14" i="5"/>
  <c r="GF242" i="5"/>
  <c r="GI235" i="5"/>
  <c r="GC167" i="5"/>
  <c r="GF161" i="5"/>
  <c r="GC214" i="5"/>
  <c r="GF213" i="5"/>
  <c r="GC204" i="5"/>
  <c r="GF194" i="5"/>
  <c r="GI194" i="5" s="1"/>
  <c r="GL194" i="5" s="1"/>
  <c r="GC159" i="5"/>
  <c r="GF158" i="5"/>
  <c r="GC10" i="5"/>
  <c r="GF9" i="5"/>
  <c r="GC241" i="5"/>
  <c r="GF228" i="5"/>
  <c r="GI228" i="5" s="1"/>
  <c r="GL228" i="5" s="1"/>
  <c r="GC71" i="5"/>
  <c r="GF62" i="5"/>
  <c r="GC156" i="5"/>
  <c r="GF153" i="5"/>
  <c r="GI153" i="5" s="1"/>
  <c r="GL153" i="5" s="1"/>
  <c r="GC331" i="5"/>
  <c r="GF325" i="5"/>
  <c r="GC118" i="5"/>
  <c r="GF113" i="5"/>
  <c r="GI113" i="5" s="1"/>
  <c r="GL113" i="5" s="1"/>
  <c r="GC24" i="5"/>
  <c r="GF13" i="5"/>
  <c r="GI13" i="5" s="1"/>
  <c r="GL13" i="5" s="1"/>
  <c r="GC160" i="5"/>
  <c r="GF157" i="5"/>
  <c r="GC8" i="5"/>
  <c r="GF5" i="5"/>
  <c r="GC100" i="5"/>
  <c r="GF99" i="5"/>
  <c r="GC31" i="5"/>
  <c r="GF26" i="5"/>
  <c r="GC216" i="5"/>
  <c r="GF215" i="5"/>
  <c r="GC147" i="5"/>
  <c r="GF143" i="5"/>
  <c r="GI143" i="5" s="1"/>
  <c r="GL143" i="5" s="1"/>
  <c r="GC97" i="5"/>
  <c r="GF94" i="5"/>
  <c r="GB355" i="5"/>
  <c r="GB1" i="5" s="1"/>
  <c r="GC320" i="5"/>
  <c r="GF317" i="5"/>
  <c r="GC132" i="5"/>
  <c r="GF125" i="5"/>
  <c r="GI125" i="5" s="1"/>
  <c r="GL125" i="5" s="1"/>
  <c r="GC312" i="5"/>
  <c r="GF300" i="5"/>
  <c r="GI300" i="5" s="1"/>
  <c r="GL300" i="5" s="1"/>
  <c r="GC324" i="5"/>
  <c r="GF321" i="5"/>
  <c r="GC117" i="5"/>
  <c r="GC103" i="5"/>
  <c r="GF102" i="5"/>
  <c r="GC155" i="5"/>
  <c r="GC240" i="5"/>
  <c r="GC146" i="5"/>
  <c r="GC131" i="5"/>
  <c r="GC203" i="5"/>
  <c r="GC311" i="5"/>
  <c r="FY355" i="5"/>
  <c r="FY1" i="5" s="1"/>
  <c r="EK64" i="4"/>
  <c r="FT336" i="5"/>
  <c r="FV331" i="5"/>
  <c r="FT331" i="5"/>
  <c r="FT320" i="5"/>
  <c r="FT316" i="5"/>
  <c r="FT312" i="5"/>
  <c r="FT311" i="5"/>
  <c r="FT278" i="5"/>
  <c r="FT247" i="5"/>
  <c r="FV242" i="5"/>
  <c r="FV241" i="5"/>
  <c r="FV240" i="5"/>
  <c r="FT242" i="5"/>
  <c r="FT241" i="5"/>
  <c r="FT240" i="5"/>
  <c r="FT212" i="5"/>
  <c r="FT204" i="5"/>
  <c r="FT205" i="5"/>
  <c r="FT203" i="5"/>
  <c r="FT180" i="5"/>
  <c r="FT179" i="5"/>
  <c r="FV167" i="5"/>
  <c r="FT168" i="5"/>
  <c r="FT167" i="5"/>
  <c r="FT160" i="5"/>
  <c r="FT159" i="5"/>
  <c r="FT156" i="5"/>
  <c r="FT155" i="5"/>
  <c r="FT148" i="5"/>
  <c r="FT147" i="5"/>
  <c r="FT146" i="5"/>
  <c r="FT137" i="5"/>
  <c r="FT136" i="5"/>
  <c r="FT132" i="5"/>
  <c r="FT131" i="5"/>
  <c r="FT119" i="5"/>
  <c r="FT118" i="5"/>
  <c r="FT117" i="5"/>
  <c r="FT357" i="5"/>
  <c r="FT347" i="5"/>
  <c r="FV311" i="5"/>
  <c r="FV278" i="5"/>
  <c r="FV247" i="5"/>
  <c r="FV216" i="5"/>
  <c r="FT216" i="5"/>
  <c r="FV214" i="5"/>
  <c r="FT214" i="5"/>
  <c r="FV212" i="5"/>
  <c r="FV160" i="5"/>
  <c r="FV148" i="5"/>
  <c r="FV146" i="5"/>
  <c r="FV155" i="5"/>
  <c r="FV132" i="5"/>
  <c r="FV131" i="5"/>
  <c r="FV117" i="5"/>
  <c r="FV103" i="5"/>
  <c r="FT103" i="5"/>
  <c r="FV85" i="5"/>
  <c r="FV84" i="5"/>
  <c r="FT85" i="5"/>
  <c r="FT84" i="5"/>
  <c r="FT96" i="5"/>
  <c r="FV70" i="5"/>
  <c r="FT70" i="5"/>
  <c r="FT43" i="5"/>
  <c r="FV37" i="5"/>
  <c r="FT37" i="5"/>
  <c r="FV25" i="5"/>
  <c r="FV23" i="5"/>
  <c r="FV10" i="5"/>
  <c r="FV8" i="5"/>
  <c r="FT25" i="5"/>
  <c r="FT23" i="5"/>
  <c r="FT8" i="5"/>
  <c r="E6" i="66"/>
  <c r="EI22" i="4"/>
  <c r="E5" i="69" s="1"/>
  <c r="EI35" i="4"/>
  <c r="E8" i="69" s="1"/>
  <c r="EK22" i="4"/>
  <c r="FV40" i="5"/>
  <c r="FZ40" i="5" s="1"/>
  <c r="E9" i="69" l="1"/>
  <c r="C5" i="63"/>
  <c r="F5" i="69"/>
  <c r="O5" i="68"/>
  <c r="O5" i="69"/>
  <c r="EZ126" i="4"/>
  <c r="EZ22" i="4"/>
  <c r="GX84" i="5"/>
  <c r="HA76" i="5"/>
  <c r="GW357" i="5"/>
  <c r="GW278" i="5"/>
  <c r="GW350" i="5" s="1"/>
  <c r="GW355" i="5" s="1"/>
  <c r="GW1" i="5" s="1"/>
  <c r="GX248" i="5"/>
  <c r="GX179" i="5"/>
  <c r="HA171" i="5"/>
  <c r="GR180" i="5"/>
  <c r="GU176" i="5"/>
  <c r="GR119" i="5"/>
  <c r="GU115" i="5"/>
  <c r="GR70" i="5"/>
  <c r="GU48" i="5"/>
  <c r="GR205" i="5"/>
  <c r="GU198" i="5"/>
  <c r="GR212" i="5"/>
  <c r="GU206" i="5"/>
  <c r="GL118" i="5"/>
  <c r="GO113" i="5"/>
  <c r="GL117" i="5"/>
  <c r="GL312" i="5"/>
  <c r="GO300" i="5"/>
  <c r="GL311" i="5"/>
  <c r="GL204" i="5"/>
  <c r="GO194" i="5"/>
  <c r="GL203" i="5"/>
  <c r="GL132" i="5"/>
  <c r="GO125" i="5"/>
  <c r="GL131" i="5"/>
  <c r="GO153" i="5"/>
  <c r="GL156" i="5"/>
  <c r="GL155" i="5"/>
  <c r="GO247" i="5"/>
  <c r="GR243" i="5"/>
  <c r="GL241" i="5"/>
  <c r="GO228" i="5"/>
  <c r="GL240" i="5"/>
  <c r="GI242" i="5"/>
  <c r="GL235" i="5"/>
  <c r="GL147" i="5"/>
  <c r="GO143" i="5"/>
  <c r="GL146" i="5"/>
  <c r="GL24" i="5"/>
  <c r="GO13" i="5"/>
  <c r="GL23" i="5"/>
  <c r="GI25" i="5"/>
  <c r="GL14" i="5"/>
  <c r="GO316" i="5"/>
  <c r="GR314" i="5"/>
  <c r="F5" i="66"/>
  <c r="F5" i="68"/>
  <c r="F5" i="67"/>
  <c r="E5" i="67"/>
  <c r="E5" i="68"/>
  <c r="E8" i="66"/>
  <c r="E8" i="67"/>
  <c r="E8" i="68"/>
  <c r="GI118" i="5"/>
  <c r="GI117" i="5"/>
  <c r="GI312" i="5"/>
  <c r="GI311" i="5"/>
  <c r="GF31" i="5"/>
  <c r="GI26" i="5"/>
  <c r="GF331" i="5"/>
  <c r="GI325" i="5"/>
  <c r="GI204" i="5"/>
  <c r="GI203" i="5"/>
  <c r="GF216" i="5"/>
  <c r="GI215" i="5"/>
  <c r="GI132" i="5"/>
  <c r="GI131" i="5"/>
  <c r="GF100" i="5"/>
  <c r="GI99" i="5"/>
  <c r="GI156" i="5"/>
  <c r="GI155" i="5"/>
  <c r="GF214" i="5"/>
  <c r="GI213" i="5"/>
  <c r="GF159" i="5"/>
  <c r="GI158" i="5"/>
  <c r="GF320" i="5"/>
  <c r="GI317" i="5"/>
  <c r="GF8" i="5"/>
  <c r="GI5" i="5"/>
  <c r="GF71" i="5"/>
  <c r="GI62" i="5"/>
  <c r="GF167" i="5"/>
  <c r="GI161" i="5"/>
  <c r="GF103" i="5"/>
  <c r="GI102" i="5"/>
  <c r="GF97" i="5"/>
  <c r="GI94" i="5"/>
  <c r="GF160" i="5"/>
  <c r="GI157" i="5"/>
  <c r="GI241" i="5"/>
  <c r="GI240" i="5"/>
  <c r="GI147" i="5"/>
  <c r="GI146" i="5"/>
  <c r="GI24" i="5"/>
  <c r="GI23" i="5"/>
  <c r="GF10" i="5"/>
  <c r="GI9" i="5"/>
  <c r="GF324" i="5"/>
  <c r="GI321" i="5"/>
  <c r="GL321" i="5" s="1"/>
  <c r="GC351" i="5"/>
  <c r="GF118" i="5"/>
  <c r="GF117" i="5"/>
  <c r="GF312" i="5"/>
  <c r="GF311" i="5"/>
  <c r="GF204" i="5"/>
  <c r="GF203" i="5"/>
  <c r="GF132" i="5"/>
  <c r="GF131" i="5"/>
  <c r="GF156" i="5"/>
  <c r="GF155" i="5"/>
  <c r="GF147" i="5"/>
  <c r="GF146" i="5"/>
  <c r="GF241" i="5"/>
  <c r="GF240" i="5"/>
  <c r="GF24" i="5"/>
  <c r="GF23" i="5"/>
  <c r="EK122" i="4"/>
  <c r="EN64" i="4"/>
  <c r="EI124" i="4"/>
  <c r="E5" i="66"/>
  <c r="FZ43" i="5"/>
  <c r="GC40" i="5"/>
  <c r="FV43" i="5"/>
  <c r="EL59" i="4"/>
  <c r="FV159" i="5"/>
  <c r="D5" i="63" l="1"/>
  <c r="R5" i="69"/>
  <c r="F6" i="69"/>
  <c r="C6" i="63"/>
  <c r="HA84" i="5"/>
  <c r="HA179" i="5"/>
  <c r="HA248" i="5"/>
  <c r="GX278" i="5"/>
  <c r="GU212" i="5"/>
  <c r="GX206" i="5"/>
  <c r="GU205" i="5"/>
  <c r="GX198" i="5"/>
  <c r="GU119" i="5"/>
  <c r="GX115" i="5"/>
  <c r="GU180" i="5"/>
  <c r="GX176" i="5"/>
  <c r="GU70" i="5"/>
  <c r="GX48" i="5"/>
  <c r="GR247" i="5"/>
  <c r="GU243" i="5"/>
  <c r="GR316" i="5"/>
  <c r="GU314" i="5"/>
  <c r="GI100" i="5"/>
  <c r="GL99" i="5"/>
  <c r="GL25" i="5"/>
  <c r="GO14" i="5"/>
  <c r="GR194" i="5"/>
  <c r="GU194" i="5" s="1"/>
  <c r="GX194" i="5" s="1"/>
  <c r="HA194" i="5" s="1"/>
  <c r="GO204" i="5"/>
  <c r="GO203" i="5"/>
  <c r="GI160" i="5"/>
  <c r="GL157" i="5"/>
  <c r="GI320" i="5"/>
  <c r="GL317" i="5"/>
  <c r="GI216" i="5"/>
  <c r="GL215" i="5"/>
  <c r="GO241" i="5"/>
  <c r="GR228" i="5"/>
  <c r="GU228" i="5" s="1"/>
  <c r="GX228" i="5" s="1"/>
  <c r="HA228" i="5" s="1"/>
  <c r="GO240" i="5"/>
  <c r="GO24" i="5"/>
  <c r="GR13" i="5"/>
  <c r="GU13" i="5" s="1"/>
  <c r="GX13" i="5" s="1"/>
  <c r="HA13" i="5" s="1"/>
  <c r="GO23" i="5"/>
  <c r="GL324" i="5"/>
  <c r="GO321" i="5"/>
  <c r="GI97" i="5"/>
  <c r="GI351" i="5" s="1"/>
  <c r="GL94" i="5"/>
  <c r="GI159" i="5"/>
  <c r="GL158" i="5"/>
  <c r="GI8" i="5"/>
  <c r="GL5" i="5"/>
  <c r="GO312" i="5"/>
  <c r="GR300" i="5"/>
  <c r="GU300" i="5" s="1"/>
  <c r="GX300" i="5" s="1"/>
  <c r="HA300" i="5" s="1"/>
  <c r="GO311" i="5"/>
  <c r="GI214" i="5"/>
  <c r="GL213" i="5"/>
  <c r="GO147" i="5"/>
  <c r="GR143" i="5"/>
  <c r="GU143" i="5" s="1"/>
  <c r="GX143" i="5" s="1"/>
  <c r="HA143" i="5" s="1"/>
  <c r="GO146" i="5"/>
  <c r="GI10" i="5"/>
  <c r="GL9" i="5"/>
  <c r="GI331" i="5"/>
  <c r="GL325" i="5"/>
  <c r="GO156" i="5"/>
  <c r="GR153" i="5"/>
  <c r="GU153" i="5" s="1"/>
  <c r="GX153" i="5" s="1"/>
  <c r="HA153" i="5" s="1"/>
  <c r="GO155" i="5"/>
  <c r="GI167" i="5"/>
  <c r="GL161" i="5"/>
  <c r="GI31" i="5"/>
  <c r="GL26" i="5"/>
  <c r="GL242" i="5"/>
  <c r="GO235" i="5"/>
  <c r="GR113" i="5"/>
  <c r="GU113" i="5" s="1"/>
  <c r="GX113" i="5" s="1"/>
  <c r="HA113" i="5" s="1"/>
  <c r="GO118" i="5"/>
  <c r="GO117" i="5"/>
  <c r="GI103" i="5"/>
  <c r="GL102" i="5"/>
  <c r="GO132" i="5"/>
  <c r="GR125" i="5"/>
  <c r="GU125" i="5" s="1"/>
  <c r="GX125" i="5" s="1"/>
  <c r="HA125" i="5" s="1"/>
  <c r="GO131" i="5"/>
  <c r="F6" i="68"/>
  <c r="F6" i="67"/>
  <c r="E9" i="67"/>
  <c r="GI71" i="5"/>
  <c r="GL62" i="5"/>
  <c r="E9" i="68"/>
  <c r="E9" i="66"/>
  <c r="EN122" i="4"/>
  <c r="EQ64" i="4"/>
  <c r="GI324" i="5"/>
  <c r="GC43" i="5"/>
  <c r="GF40" i="5"/>
  <c r="GF351" i="5"/>
  <c r="F6" i="66"/>
  <c r="EL122" i="4"/>
  <c r="EM357" i="5"/>
  <c r="EP357" i="5"/>
  <c r="ES357" i="5"/>
  <c r="EV357" i="5"/>
  <c r="EY357" i="5"/>
  <c r="FB357" i="5"/>
  <c r="FE357" i="5"/>
  <c r="FH357" i="5"/>
  <c r="FK357" i="5"/>
  <c r="FN357" i="5"/>
  <c r="FQ357" i="5"/>
  <c r="FR357" i="5"/>
  <c r="F27" i="63"/>
  <c r="FV163" i="5"/>
  <c r="HA278" i="5" l="1"/>
  <c r="EN124" i="4"/>
  <c r="EN1" i="4" s="1"/>
  <c r="I6" i="69"/>
  <c r="I9" i="69" s="1"/>
  <c r="GX205" i="5"/>
  <c r="HA198" i="5"/>
  <c r="HA204" i="5"/>
  <c r="HA203" i="5"/>
  <c r="GX212" i="5"/>
  <c r="HA206" i="5"/>
  <c r="HA312" i="5"/>
  <c r="HA311" i="5"/>
  <c r="HA48" i="5"/>
  <c r="HA70" i="5" s="1"/>
  <c r="GX70" i="5"/>
  <c r="HA132" i="5"/>
  <c r="HA131" i="5"/>
  <c r="GX119" i="5"/>
  <c r="HA115" i="5"/>
  <c r="HA119" i="5" s="1"/>
  <c r="HA147" i="5"/>
  <c r="HA146" i="5"/>
  <c r="HA24" i="5"/>
  <c r="HA23" i="5"/>
  <c r="HA241" i="5"/>
  <c r="HA240" i="5"/>
  <c r="GX180" i="5"/>
  <c r="HA176" i="5"/>
  <c r="HA180" i="5" s="1"/>
  <c r="HA156" i="5"/>
  <c r="HA155" i="5"/>
  <c r="HA118" i="5"/>
  <c r="HA117" i="5"/>
  <c r="GX241" i="5"/>
  <c r="GX240" i="5"/>
  <c r="GX118" i="5"/>
  <c r="GX117" i="5"/>
  <c r="GU247" i="5"/>
  <c r="GX243" i="5"/>
  <c r="GX312" i="5"/>
  <c r="GX311" i="5"/>
  <c r="GX156" i="5"/>
  <c r="GX155" i="5"/>
  <c r="GX132" i="5"/>
  <c r="GX131" i="5"/>
  <c r="GX204" i="5"/>
  <c r="GX203" i="5"/>
  <c r="GX147" i="5"/>
  <c r="GX146" i="5"/>
  <c r="GU316" i="5"/>
  <c r="GX314" i="5"/>
  <c r="GX24" i="5"/>
  <c r="GX23" i="5"/>
  <c r="GU204" i="5"/>
  <c r="GU203" i="5"/>
  <c r="GU147" i="5"/>
  <c r="GU146" i="5"/>
  <c r="GU156" i="5"/>
  <c r="GU155" i="5"/>
  <c r="GU132" i="5"/>
  <c r="GU131" i="5"/>
  <c r="GU118" i="5"/>
  <c r="GU117" i="5"/>
  <c r="GU241" i="5"/>
  <c r="GU240" i="5"/>
  <c r="GU312" i="5"/>
  <c r="GU311" i="5"/>
  <c r="GU24" i="5"/>
  <c r="GU23" i="5"/>
  <c r="GL31" i="5"/>
  <c r="GO26" i="5"/>
  <c r="GR147" i="5"/>
  <c r="GR146" i="5"/>
  <c r="GO94" i="5"/>
  <c r="GL97" i="5"/>
  <c r="GL351" i="5" s="1"/>
  <c r="GO317" i="5"/>
  <c r="GL320" i="5"/>
  <c r="GL167" i="5"/>
  <c r="GO161" i="5"/>
  <c r="GL214" i="5"/>
  <c r="GO213" i="5"/>
  <c r="GO324" i="5"/>
  <c r="GR321" i="5"/>
  <c r="GL160" i="5"/>
  <c r="GO157" i="5"/>
  <c r="GR132" i="5"/>
  <c r="GR131" i="5"/>
  <c r="GL103" i="5"/>
  <c r="GO102" i="5"/>
  <c r="GR156" i="5"/>
  <c r="GR155" i="5"/>
  <c r="GR312" i="5"/>
  <c r="GR311" i="5"/>
  <c r="GR24" i="5"/>
  <c r="GR23" i="5"/>
  <c r="GR204" i="5"/>
  <c r="GR203" i="5"/>
  <c r="GO325" i="5"/>
  <c r="GL331" i="5"/>
  <c r="GL8" i="5"/>
  <c r="GO5" i="5"/>
  <c r="GR14" i="5"/>
  <c r="GO25" i="5"/>
  <c r="GR241" i="5"/>
  <c r="GR240" i="5"/>
  <c r="GR118" i="5"/>
  <c r="GR117" i="5"/>
  <c r="GL10" i="5"/>
  <c r="GO9" i="5"/>
  <c r="GO99" i="5"/>
  <c r="GL100" i="5"/>
  <c r="GR235" i="5"/>
  <c r="GO242" i="5"/>
  <c r="GL159" i="5"/>
  <c r="GO158" i="5"/>
  <c r="GO215" i="5"/>
  <c r="GL216" i="5"/>
  <c r="I6" i="68"/>
  <c r="I9" i="68" s="1"/>
  <c r="I6" i="67"/>
  <c r="I9" i="67" s="1"/>
  <c r="EQ122" i="4"/>
  <c r="EQ124" i="4" s="1"/>
  <c r="EQ1" i="4" s="1"/>
  <c r="ET64" i="4"/>
  <c r="I6" i="66"/>
  <c r="I9" i="66" s="1"/>
  <c r="GL71" i="5"/>
  <c r="GO62" i="5"/>
  <c r="GF43" i="5"/>
  <c r="GI40" i="5"/>
  <c r="FZ163" i="5"/>
  <c r="FV168" i="5"/>
  <c r="FV337" i="5"/>
  <c r="FV333" i="5"/>
  <c r="FZ333" i="5" s="1"/>
  <c r="FW321" i="5"/>
  <c r="FV86" i="5"/>
  <c r="FT71" i="5"/>
  <c r="FV179" i="5"/>
  <c r="FV203" i="5"/>
  <c r="EF122" i="4"/>
  <c r="EL82" i="4"/>
  <c r="EL7" i="4"/>
  <c r="FW344" i="5"/>
  <c r="FW343" i="5"/>
  <c r="FW342" i="5"/>
  <c r="FW341" i="5"/>
  <c r="FW340" i="5"/>
  <c r="FW339" i="5"/>
  <c r="FW338" i="5"/>
  <c r="FW325" i="5"/>
  <c r="FW317" i="5"/>
  <c r="FW315" i="5"/>
  <c r="FW309" i="5"/>
  <c r="FW308" i="5"/>
  <c r="FW307" i="5"/>
  <c r="FW306" i="5"/>
  <c r="FW305" i="5"/>
  <c r="FW304" i="5"/>
  <c r="FW303" i="5"/>
  <c r="FW302" i="5"/>
  <c r="FW301" i="5"/>
  <c r="FW300" i="5"/>
  <c r="FW299" i="5"/>
  <c r="FW298" i="5"/>
  <c r="FW297" i="5"/>
  <c r="FW296" i="5"/>
  <c r="FW295" i="5"/>
  <c r="FW294" i="5"/>
  <c r="FW293" i="5"/>
  <c r="FW292" i="5"/>
  <c r="FW291" i="5"/>
  <c r="FW290" i="5"/>
  <c r="FW289" i="5"/>
  <c r="FW288" i="5"/>
  <c r="FW287" i="5"/>
  <c r="FW286" i="5"/>
  <c r="FW285" i="5"/>
  <c r="FW284" i="5"/>
  <c r="FW283" i="5"/>
  <c r="FW282" i="5"/>
  <c r="FW281" i="5"/>
  <c r="FW280" i="5"/>
  <c r="FW279" i="5"/>
  <c r="FW255" i="5"/>
  <c r="FW254" i="5"/>
  <c r="FW252" i="5"/>
  <c r="FW248" i="5"/>
  <c r="FW245" i="5"/>
  <c r="FW244" i="5"/>
  <c r="FW243" i="5"/>
  <c r="FW239" i="5"/>
  <c r="FW238" i="5"/>
  <c r="FW237" i="5"/>
  <c r="FW235" i="5"/>
  <c r="FW234" i="5"/>
  <c r="FW233" i="5"/>
  <c r="FW232" i="5"/>
  <c r="FW231" i="5"/>
  <c r="FW230" i="5"/>
  <c r="FW229" i="5"/>
  <c r="FW228" i="5"/>
  <c r="FW227" i="5"/>
  <c r="FW226" i="5"/>
  <c r="FW225" i="5"/>
  <c r="FW224" i="5"/>
  <c r="FW223" i="5"/>
  <c r="FW222" i="5"/>
  <c r="FW221" i="5"/>
  <c r="FW220" i="5"/>
  <c r="FW219" i="5"/>
  <c r="FW218" i="5"/>
  <c r="FW217" i="5"/>
  <c r="FW213" i="5"/>
  <c r="FW206" i="5"/>
  <c r="FW198" i="5"/>
  <c r="FW197" i="5"/>
  <c r="FW196" i="5"/>
  <c r="FW195" i="5"/>
  <c r="FW194" i="5"/>
  <c r="FW193" i="5"/>
  <c r="FW192" i="5"/>
  <c r="FW191" i="5"/>
  <c r="FW190" i="5"/>
  <c r="FW189" i="5"/>
  <c r="FW188" i="5"/>
  <c r="FW187" i="5"/>
  <c r="FW186" i="5"/>
  <c r="FW185" i="5"/>
  <c r="FW184" i="5"/>
  <c r="FW183" i="5"/>
  <c r="FW182" i="5"/>
  <c r="FW181" i="5"/>
  <c r="FW172" i="5"/>
  <c r="FW171" i="5"/>
  <c r="FW175" i="5"/>
  <c r="FW169" i="5"/>
  <c r="FW163" i="5"/>
  <c r="FW158" i="5"/>
  <c r="FW153" i="5"/>
  <c r="FW151" i="5"/>
  <c r="FW143" i="5"/>
  <c r="FW128" i="5"/>
  <c r="FW127" i="5"/>
  <c r="FW126" i="5"/>
  <c r="FW125" i="5"/>
  <c r="FW124" i="5"/>
  <c r="FW123" i="5"/>
  <c r="FW122" i="5"/>
  <c r="FW121" i="5"/>
  <c r="FW120" i="5"/>
  <c r="FW114" i="5"/>
  <c r="FW113" i="5"/>
  <c r="FW112" i="5"/>
  <c r="FW111" i="5"/>
  <c r="FW110" i="5"/>
  <c r="FW109" i="5"/>
  <c r="FW102" i="5"/>
  <c r="FW87" i="5"/>
  <c r="FW80" i="5"/>
  <c r="FW79" i="5"/>
  <c r="FW78" i="5"/>
  <c r="FW77" i="5"/>
  <c r="FW76" i="5"/>
  <c r="FW75" i="5"/>
  <c r="FW67" i="5"/>
  <c r="FW62" i="5"/>
  <c r="FW64" i="5"/>
  <c r="FW40" i="5"/>
  <c r="FW39" i="5"/>
  <c r="FW33" i="5"/>
  <c r="FW26" i="5"/>
  <c r="FW18" i="5"/>
  <c r="FW13" i="5"/>
  <c r="FW9" i="5"/>
  <c r="FW5" i="5"/>
  <c r="EL106" i="4"/>
  <c r="EL105" i="4"/>
  <c r="EL97" i="4"/>
  <c r="EL96" i="4"/>
  <c r="EL94" i="4"/>
  <c r="EL93" i="4"/>
  <c r="EL92" i="4"/>
  <c r="EL90" i="4"/>
  <c r="EL88" i="4"/>
  <c r="EL78" i="4"/>
  <c r="EL77" i="4"/>
  <c r="EL76" i="4"/>
  <c r="EL71" i="4"/>
  <c r="EL60" i="4"/>
  <c r="EL51" i="4"/>
  <c r="EL45" i="4"/>
  <c r="EL41" i="4"/>
  <c r="EL40" i="4"/>
  <c r="EL37" i="4"/>
  <c r="EL31" i="4"/>
  <c r="EL28" i="4"/>
  <c r="EL27" i="4"/>
  <c r="EL25" i="4"/>
  <c r="EL24" i="4"/>
  <c r="EL6" i="4"/>
  <c r="EL8" i="4"/>
  <c r="EL9" i="4"/>
  <c r="EL10" i="4"/>
  <c r="EL11" i="4"/>
  <c r="EL12" i="4"/>
  <c r="EL13" i="4"/>
  <c r="EL14" i="4"/>
  <c r="EL15" i="4"/>
  <c r="EL16" i="4"/>
  <c r="EL17" i="4"/>
  <c r="EL18" i="4"/>
  <c r="EL19" i="4"/>
  <c r="EL20" i="4"/>
  <c r="EL21" i="4"/>
  <c r="EL5" i="4"/>
  <c r="D15" i="62"/>
  <c r="C15" i="62"/>
  <c r="C6" i="64"/>
  <c r="C5" i="64"/>
  <c r="C4" i="64"/>
  <c r="C3" i="64"/>
  <c r="C2" i="64"/>
  <c r="FV316" i="5"/>
  <c r="FT10" i="5"/>
  <c r="HA212" i="5" l="1"/>
  <c r="HA205" i="5"/>
  <c r="GX247" i="5"/>
  <c r="HA243" i="5"/>
  <c r="GX316" i="5"/>
  <c r="HA314" i="5"/>
  <c r="HA316" i="5" s="1"/>
  <c r="GR324" i="5"/>
  <c r="GU321" i="5"/>
  <c r="GR242" i="5"/>
  <c r="GU235" i="5"/>
  <c r="GR25" i="5"/>
  <c r="GU14" i="5"/>
  <c r="GO167" i="5"/>
  <c r="GR161" i="5"/>
  <c r="GO216" i="5"/>
  <c r="GR215" i="5"/>
  <c r="GO214" i="5"/>
  <c r="GR213" i="5"/>
  <c r="GR5" i="5"/>
  <c r="GO8" i="5"/>
  <c r="GO103" i="5"/>
  <c r="GR102" i="5"/>
  <c r="GO159" i="5"/>
  <c r="GR158" i="5"/>
  <c r="GO320" i="5"/>
  <c r="GR317" i="5"/>
  <c r="GR99" i="5"/>
  <c r="GO100" i="5"/>
  <c r="GR9" i="5"/>
  <c r="GO10" i="5"/>
  <c r="GO331" i="5"/>
  <c r="GR325" i="5"/>
  <c r="GO97" i="5"/>
  <c r="GO351" i="5" s="1"/>
  <c r="GR94" i="5"/>
  <c r="GO160" i="5"/>
  <c r="GR157" i="5"/>
  <c r="GI43" i="5"/>
  <c r="GL40" i="5"/>
  <c r="GO31" i="5"/>
  <c r="GR26" i="5"/>
  <c r="EW64" i="4"/>
  <c r="ET122" i="4"/>
  <c r="L6" i="69" s="1"/>
  <c r="L9" i="69" s="1"/>
  <c r="GO71" i="5"/>
  <c r="GR62" i="5"/>
  <c r="FZ336" i="5"/>
  <c r="GC333" i="5"/>
  <c r="FZ168" i="5"/>
  <c r="FZ353" i="5" s="1"/>
  <c r="GC163" i="5"/>
  <c r="FW86" i="5"/>
  <c r="FZ86" i="5"/>
  <c r="FV96" i="5"/>
  <c r="FZ337" i="5"/>
  <c r="GC337" i="5" s="1"/>
  <c r="GF337" i="5" s="1"/>
  <c r="FV347" i="5"/>
  <c r="FW333" i="5"/>
  <c r="FV336" i="5"/>
  <c r="FW337" i="5"/>
  <c r="FV357" i="5"/>
  <c r="FW357" i="5" s="1"/>
  <c r="FW10" i="5"/>
  <c r="FW278" i="5"/>
  <c r="FW316" i="5"/>
  <c r="C7" i="64"/>
  <c r="D27" i="63"/>
  <c r="C27" i="63"/>
  <c r="EK99" i="4"/>
  <c r="EK35" i="4"/>
  <c r="FV324" i="5"/>
  <c r="FV320" i="5"/>
  <c r="FV313" i="5"/>
  <c r="FV312" i="5"/>
  <c r="FV205" i="5"/>
  <c r="FV204" i="5"/>
  <c r="FV180" i="5"/>
  <c r="FV156" i="5"/>
  <c r="FV147" i="5"/>
  <c r="FV137" i="5"/>
  <c r="FV136" i="5"/>
  <c r="FV119" i="5"/>
  <c r="FV118" i="5"/>
  <c r="FV100" i="5"/>
  <c r="FV97" i="5"/>
  <c r="FV71" i="5"/>
  <c r="FV31" i="5"/>
  <c r="FV24" i="5"/>
  <c r="FT324" i="5"/>
  <c r="FT313" i="5"/>
  <c r="FT353" i="5" s="1"/>
  <c r="E13" i="69" s="1"/>
  <c r="FW311" i="5"/>
  <c r="FT100" i="5"/>
  <c r="FT97" i="5"/>
  <c r="FT31" i="5"/>
  <c r="FT24" i="5"/>
  <c r="FO315" i="5"/>
  <c r="FN316" i="5"/>
  <c r="FN347" i="5"/>
  <c r="FN336" i="5"/>
  <c r="FN331" i="5"/>
  <c r="FN324" i="5"/>
  <c r="FN320" i="5"/>
  <c r="FO313" i="5"/>
  <c r="FN313" i="5"/>
  <c r="FN312" i="5"/>
  <c r="FN311" i="5"/>
  <c r="FN247" i="5"/>
  <c r="FN242" i="5"/>
  <c r="FN241" i="5"/>
  <c r="FN240" i="5"/>
  <c r="FN216" i="5"/>
  <c r="FN214" i="5"/>
  <c r="FN212" i="5"/>
  <c r="FN205" i="5"/>
  <c r="FN204" i="5"/>
  <c r="FN203" i="5"/>
  <c r="FN180" i="5"/>
  <c r="FN179" i="5"/>
  <c r="FN168" i="5"/>
  <c r="FN167" i="5"/>
  <c r="FN160" i="5"/>
  <c r="FN159" i="5"/>
  <c r="FN156" i="5"/>
  <c r="FN155" i="5"/>
  <c r="FO148" i="5"/>
  <c r="FN148" i="5"/>
  <c r="FN147" i="5"/>
  <c r="FN146" i="5"/>
  <c r="FO137" i="5"/>
  <c r="FN137" i="5"/>
  <c r="FO136" i="5"/>
  <c r="FN136" i="5"/>
  <c r="FN132" i="5"/>
  <c r="FN131" i="5"/>
  <c r="FN119" i="5"/>
  <c r="FN118" i="5"/>
  <c r="FN117" i="5"/>
  <c r="FN103" i="5"/>
  <c r="FN100" i="5"/>
  <c r="FN97" i="5"/>
  <c r="FN96" i="5"/>
  <c r="FO85" i="5"/>
  <c r="FN85" i="5"/>
  <c r="FN84" i="5"/>
  <c r="FN71" i="5"/>
  <c r="FN70" i="5"/>
  <c r="FN43" i="5"/>
  <c r="FN37" i="5"/>
  <c r="FN31" i="5"/>
  <c r="FN25" i="5"/>
  <c r="FN24" i="5"/>
  <c r="FN23" i="5"/>
  <c r="FN10" i="5"/>
  <c r="FN8" i="5"/>
  <c r="F16" i="62"/>
  <c r="E16" i="62"/>
  <c r="D16" i="62"/>
  <c r="C16" i="62"/>
  <c r="F13" i="62"/>
  <c r="E13" i="62"/>
  <c r="F10" i="62"/>
  <c r="E10" i="62"/>
  <c r="FK179" i="5"/>
  <c r="FL171" i="5"/>
  <c r="FO171" i="5" s="1"/>
  <c r="R19" i="61"/>
  <c r="R25" i="61" s="1"/>
  <c r="FB278" i="5"/>
  <c r="FB247" i="5"/>
  <c r="FB240" i="5"/>
  <c r="FB203" i="5"/>
  <c r="FB179" i="5"/>
  <c r="FB167" i="5"/>
  <c r="FB146" i="5"/>
  <c r="FB131" i="5"/>
  <c r="FB117" i="5"/>
  <c r="FB96" i="5"/>
  <c r="FB84" i="5"/>
  <c r="FB43" i="5"/>
  <c r="FB31" i="5"/>
  <c r="FB23" i="5"/>
  <c r="FB8" i="5"/>
  <c r="FE278" i="5"/>
  <c r="FK168" i="5"/>
  <c r="FK167" i="5"/>
  <c r="FK131" i="5"/>
  <c r="FK119" i="5"/>
  <c r="FK118" i="5"/>
  <c r="FK117" i="5"/>
  <c r="FB311" i="5"/>
  <c r="Q25" i="61"/>
  <c r="FK241" i="5"/>
  <c r="FK240" i="5"/>
  <c r="FK247" i="5"/>
  <c r="FK311" i="5"/>
  <c r="C8" i="63" l="1"/>
  <c r="F8" i="69"/>
  <c r="C7" i="63"/>
  <c r="F7" i="69"/>
  <c r="HB244" i="5"/>
  <c r="HB245" i="5"/>
  <c r="HA247" i="5"/>
  <c r="EW122" i="4"/>
  <c r="O6" i="69" s="1"/>
  <c r="O9" i="69" s="1"/>
  <c r="EZ64" i="4"/>
  <c r="EZ122" i="4" s="1"/>
  <c r="D6" i="63" s="1"/>
  <c r="GU242" i="5"/>
  <c r="GX235" i="5"/>
  <c r="GU324" i="5"/>
  <c r="GX321" i="5"/>
  <c r="GU25" i="5"/>
  <c r="GX14" i="5"/>
  <c r="GR331" i="5"/>
  <c r="GU325" i="5"/>
  <c r="GR216" i="5"/>
  <c r="GU215" i="5"/>
  <c r="GR97" i="5"/>
  <c r="GR351" i="5" s="1"/>
  <c r="GU94" i="5"/>
  <c r="GR214" i="5"/>
  <c r="GU213" i="5"/>
  <c r="GR167" i="5"/>
  <c r="GU161" i="5"/>
  <c r="GR160" i="5"/>
  <c r="GU157" i="5"/>
  <c r="GR71" i="5"/>
  <c r="GU62" i="5"/>
  <c r="GR100" i="5"/>
  <c r="GU99" i="5"/>
  <c r="GR320" i="5"/>
  <c r="GU317" i="5"/>
  <c r="GR159" i="5"/>
  <c r="GU158" i="5"/>
  <c r="GR103" i="5"/>
  <c r="GU102" i="5"/>
  <c r="GR8" i="5"/>
  <c r="GU5" i="5"/>
  <c r="GR10" i="5"/>
  <c r="GU9" i="5"/>
  <c r="GR31" i="5"/>
  <c r="GU26" i="5"/>
  <c r="E13" i="66"/>
  <c r="E13" i="68"/>
  <c r="E13" i="67"/>
  <c r="GL43" i="5"/>
  <c r="GO40" i="5"/>
  <c r="F7" i="68"/>
  <c r="F7" i="67"/>
  <c r="F8" i="67"/>
  <c r="F8" i="68"/>
  <c r="L6" i="68"/>
  <c r="L9" i="68" s="1"/>
  <c r="L6" i="67"/>
  <c r="L9" i="67" s="1"/>
  <c r="ET124" i="4"/>
  <c r="ET1" i="4" s="1"/>
  <c r="GF347" i="5"/>
  <c r="GI337" i="5"/>
  <c r="GL337" i="5" s="1"/>
  <c r="GC168" i="5"/>
  <c r="GC353" i="5" s="1"/>
  <c r="GF163" i="5"/>
  <c r="GC336" i="5"/>
  <c r="GF333" i="5"/>
  <c r="GI333" i="5" s="1"/>
  <c r="C8" i="62"/>
  <c r="C8" i="65"/>
  <c r="H7" i="63"/>
  <c r="F7" i="66"/>
  <c r="D6" i="62"/>
  <c r="D6" i="65"/>
  <c r="C9" i="62"/>
  <c r="C9" i="65"/>
  <c r="F8" i="66"/>
  <c r="GC347" i="5"/>
  <c r="FZ96" i="5"/>
  <c r="GC86" i="5"/>
  <c r="GC357" i="5" s="1"/>
  <c r="FT351" i="5"/>
  <c r="FZ347" i="5"/>
  <c r="FZ357" i="5"/>
  <c r="D7" i="62"/>
  <c r="D7" i="65"/>
  <c r="FT350" i="5"/>
  <c r="E12" i="69" s="1"/>
  <c r="E14" i="69" s="1"/>
  <c r="FW132" i="5"/>
  <c r="FV353" i="5"/>
  <c r="FW312" i="5"/>
  <c r="FW179" i="5"/>
  <c r="FW70" i="5"/>
  <c r="EL126" i="4"/>
  <c r="FW71" i="5"/>
  <c r="FW136" i="5"/>
  <c r="FW180" i="5"/>
  <c r="FW313" i="5"/>
  <c r="FW8" i="5"/>
  <c r="FW97" i="5"/>
  <c r="FW148" i="5"/>
  <c r="FW212" i="5"/>
  <c r="FW336" i="5"/>
  <c r="FW31" i="5"/>
  <c r="FW43" i="5"/>
  <c r="FW131" i="5"/>
  <c r="FW168" i="5"/>
  <c r="FW84" i="5"/>
  <c r="FW137" i="5"/>
  <c r="FW203" i="5"/>
  <c r="FW320" i="5"/>
  <c r="FW85" i="5"/>
  <c r="FW146" i="5"/>
  <c r="FW204" i="5"/>
  <c r="FW324" i="5"/>
  <c r="FW96" i="5"/>
  <c r="FW147" i="5"/>
  <c r="FW205" i="5"/>
  <c r="FW331" i="5"/>
  <c r="FW23" i="5"/>
  <c r="FW100" i="5"/>
  <c r="FW155" i="5"/>
  <c r="FW214" i="5"/>
  <c r="FW347" i="5"/>
  <c r="FW24" i="5"/>
  <c r="FW103" i="5"/>
  <c r="FW156" i="5"/>
  <c r="FW216" i="5"/>
  <c r="FW25" i="5"/>
  <c r="FW117" i="5"/>
  <c r="FW159" i="5"/>
  <c r="FW240" i="5"/>
  <c r="FW118" i="5"/>
  <c r="FW160" i="5"/>
  <c r="FW241" i="5"/>
  <c r="FW37" i="5"/>
  <c r="FW119" i="5"/>
  <c r="FW167" i="5"/>
  <c r="FW242" i="5"/>
  <c r="EL22" i="4"/>
  <c r="FV351" i="5"/>
  <c r="FV350" i="5"/>
  <c r="EI1" i="4"/>
  <c r="EK124" i="4"/>
  <c r="EL124" i="4" s="1"/>
  <c r="FN351" i="5"/>
  <c r="FN353" i="5"/>
  <c r="FN278" i="5"/>
  <c r="FN350" i="5" s="1"/>
  <c r="F17" i="62"/>
  <c r="E17" i="62"/>
  <c r="FK258" i="5"/>
  <c r="FK266" i="5"/>
  <c r="F9" i="69" l="1"/>
  <c r="F13" i="69"/>
  <c r="C13" i="63"/>
  <c r="F12" i="69"/>
  <c r="F14" i="69" s="1"/>
  <c r="C12" i="63"/>
  <c r="E16" i="69"/>
  <c r="E29" i="69"/>
  <c r="EZ124" i="4"/>
  <c r="EZ1" i="4" s="1"/>
  <c r="R6" i="69"/>
  <c r="R9" i="69" s="1"/>
  <c r="EW124" i="4"/>
  <c r="EW1" i="4" s="1"/>
  <c r="O6" i="68"/>
  <c r="O9" i="68" s="1"/>
  <c r="GX25" i="5"/>
  <c r="HA14" i="5"/>
  <c r="HA25" i="5" s="1"/>
  <c r="GX324" i="5"/>
  <c r="HA321" i="5"/>
  <c r="GX242" i="5"/>
  <c r="HA235" i="5"/>
  <c r="GU167" i="5"/>
  <c r="GX161" i="5"/>
  <c r="GU97" i="5"/>
  <c r="GU351" i="5" s="1"/>
  <c r="GX94" i="5"/>
  <c r="GU159" i="5"/>
  <c r="GX158" i="5"/>
  <c r="GU100" i="5"/>
  <c r="GX99" i="5"/>
  <c r="GU71" i="5"/>
  <c r="GX62" i="5"/>
  <c r="GU214" i="5"/>
  <c r="GX213" i="5"/>
  <c r="GU103" i="5"/>
  <c r="GX102" i="5"/>
  <c r="GU216" i="5"/>
  <c r="GX215" i="5"/>
  <c r="GU320" i="5"/>
  <c r="GX317" i="5"/>
  <c r="GU160" i="5"/>
  <c r="GX157" i="5"/>
  <c r="GU331" i="5"/>
  <c r="GX325" i="5"/>
  <c r="GU31" i="5"/>
  <c r="GX26" i="5"/>
  <c r="GU10" i="5"/>
  <c r="GX9" i="5"/>
  <c r="GU8" i="5"/>
  <c r="GX5" i="5"/>
  <c r="FZ350" i="5"/>
  <c r="FZ355" i="5" s="1"/>
  <c r="FZ1" i="5" s="1"/>
  <c r="F13" i="66"/>
  <c r="F13" i="68"/>
  <c r="F13" i="67"/>
  <c r="GR40" i="5"/>
  <c r="GO43" i="5"/>
  <c r="GL347" i="5"/>
  <c r="GO337" i="5"/>
  <c r="E12" i="66"/>
  <c r="E14" i="66" s="1"/>
  <c r="E29" i="66" s="1"/>
  <c r="E12" i="67"/>
  <c r="E14" i="67" s="1"/>
  <c r="E12" i="68"/>
  <c r="E14" i="68" s="1"/>
  <c r="GI336" i="5"/>
  <c r="GL333" i="5"/>
  <c r="F12" i="66"/>
  <c r="F12" i="68"/>
  <c r="F12" i="67"/>
  <c r="F9" i="67"/>
  <c r="F9" i="68"/>
  <c r="GF168" i="5"/>
  <c r="GF353" i="5" s="1"/>
  <c r="I13" i="69" s="1"/>
  <c r="GI163" i="5"/>
  <c r="GI347" i="5"/>
  <c r="GC96" i="5"/>
  <c r="GC350" i="5" s="1"/>
  <c r="GC355" i="5" s="1"/>
  <c r="GC1" i="5" s="1"/>
  <c r="GF86" i="5"/>
  <c r="GF357" i="5" s="1"/>
  <c r="GF336" i="5"/>
  <c r="F9" i="66"/>
  <c r="C7" i="62"/>
  <c r="C7" i="65"/>
  <c r="D8" i="62"/>
  <c r="D8" i="65"/>
  <c r="C6" i="62"/>
  <c r="C6" i="65"/>
  <c r="FT355" i="5"/>
  <c r="FT1" i="5" s="1"/>
  <c r="H6" i="63"/>
  <c r="EK1" i="4"/>
  <c r="FW350" i="5"/>
  <c r="FW353" i="5"/>
  <c r="FW351" i="5"/>
  <c r="E9" i="63"/>
  <c r="H5" i="63"/>
  <c r="FV355" i="5"/>
  <c r="FN355" i="5"/>
  <c r="FN1" i="5" s="1"/>
  <c r="FK278" i="5"/>
  <c r="FK102" i="5"/>
  <c r="FK103" i="5" s="1"/>
  <c r="EG20" i="4"/>
  <c r="EG19" i="4"/>
  <c r="FK347" i="5"/>
  <c r="FK336" i="5"/>
  <c r="FK331" i="5"/>
  <c r="FK324" i="5"/>
  <c r="FK320" i="5"/>
  <c r="FK316" i="5"/>
  <c r="FL313" i="5"/>
  <c r="FK313" i="5"/>
  <c r="FK312" i="5"/>
  <c r="FK242" i="5"/>
  <c r="FK216" i="5"/>
  <c r="FK214" i="5"/>
  <c r="FK212" i="5"/>
  <c r="FK205" i="5"/>
  <c r="FK204" i="5"/>
  <c r="FK203" i="5"/>
  <c r="FK180" i="5"/>
  <c r="FK160" i="5"/>
  <c r="FK159" i="5"/>
  <c r="FK156" i="5"/>
  <c r="FK155" i="5"/>
  <c r="FL148" i="5"/>
  <c r="FK148" i="5"/>
  <c r="FK147" i="5"/>
  <c r="FK146" i="5"/>
  <c r="FL137" i="5"/>
  <c r="FK137" i="5"/>
  <c r="FL136" i="5"/>
  <c r="FK136" i="5"/>
  <c r="FK132" i="5"/>
  <c r="FK100" i="5"/>
  <c r="FK97" i="5"/>
  <c r="FK96" i="5"/>
  <c r="FL85" i="5"/>
  <c r="FK85" i="5"/>
  <c r="FK84" i="5"/>
  <c r="FK71" i="5"/>
  <c r="FK70" i="5"/>
  <c r="FK43" i="5"/>
  <c r="FK37" i="5"/>
  <c r="FK31" i="5"/>
  <c r="FK25" i="5"/>
  <c r="FK24" i="5"/>
  <c r="FK23" i="5"/>
  <c r="FK10" i="5"/>
  <c r="FK8" i="5"/>
  <c r="O25" i="61"/>
  <c r="N25" i="61"/>
  <c r="L25" i="61"/>
  <c r="K25" i="61"/>
  <c r="I25" i="61"/>
  <c r="H25" i="61"/>
  <c r="F25" i="61"/>
  <c r="E25" i="61"/>
  <c r="D25" i="61"/>
  <c r="C25" i="61"/>
  <c r="D14" i="61"/>
  <c r="EF126" i="4"/>
  <c r="Q6" i="61"/>
  <c r="EF99" i="4"/>
  <c r="Q7" i="61" s="1"/>
  <c r="EF22" i="4"/>
  <c r="Q5" i="61" s="1"/>
  <c r="FH347" i="5"/>
  <c r="FH336" i="5"/>
  <c r="FH331" i="5"/>
  <c r="FH324" i="5"/>
  <c r="FH320" i="5"/>
  <c r="FH316" i="5"/>
  <c r="FI313" i="5"/>
  <c r="FH313" i="5"/>
  <c r="FH312" i="5"/>
  <c r="FH311" i="5"/>
  <c r="FH278" i="5"/>
  <c r="FH247" i="5"/>
  <c r="FH242" i="5"/>
  <c r="FH241" i="5"/>
  <c r="FH240" i="5"/>
  <c r="FH216" i="5"/>
  <c r="FH214" i="5"/>
  <c r="FH212" i="5"/>
  <c r="FH205" i="5"/>
  <c r="FH204" i="5"/>
  <c r="FH203" i="5"/>
  <c r="FH180" i="5"/>
  <c r="FH179" i="5"/>
  <c r="FH168" i="5"/>
  <c r="FH167" i="5"/>
  <c r="FH160" i="5"/>
  <c r="FH159" i="5"/>
  <c r="FH156" i="5"/>
  <c r="FH155" i="5"/>
  <c r="FI148" i="5"/>
  <c r="FH148" i="5"/>
  <c r="FH147" i="5"/>
  <c r="FH146" i="5"/>
  <c r="FI137" i="5"/>
  <c r="FH137" i="5"/>
  <c r="FI136" i="5"/>
  <c r="FH136" i="5"/>
  <c r="FH132" i="5"/>
  <c r="FH131" i="5"/>
  <c r="FH119" i="5"/>
  <c r="FH118" i="5"/>
  <c r="FH117" i="5"/>
  <c r="FH103" i="5"/>
  <c r="FH100" i="5"/>
  <c r="FH97" i="5"/>
  <c r="FH96" i="5"/>
  <c r="FI85" i="5"/>
  <c r="FH85" i="5"/>
  <c r="FH84" i="5"/>
  <c r="FH71" i="5"/>
  <c r="FH70" i="5"/>
  <c r="FH43" i="5"/>
  <c r="FH37" i="5"/>
  <c r="FH31" i="5"/>
  <c r="FH25" i="5"/>
  <c r="FH24" i="5"/>
  <c r="FH23" i="5"/>
  <c r="FH10" i="5"/>
  <c r="FH8" i="5"/>
  <c r="FE347" i="5"/>
  <c r="FE336" i="5"/>
  <c r="FE331" i="5"/>
  <c r="FE324" i="5"/>
  <c r="FE320" i="5"/>
  <c r="FE316" i="5"/>
  <c r="FF313" i="5"/>
  <c r="FE313" i="5"/>
  <c r="FE312" i="5"/>
  <c r="FE311" i="5"/>
  <c r="FE247" i="5"/>
  <c r="FE242" i="5"/>
  <c r="FE241" i="5"/>
  <c r="FE240" i="5"/>
  <c r="FE216" i="5"/>
  <c r="FE214" i="5"/>
  <c r="FE212" i="5"/>
  <c r="FE205" i="5"/>
  <c r="FE204" i="5"/>
  <c r="FE203" i="5"/>
  <c r="FE180" i="5"/>
  <c r="FE179" i="5"/>
  <c r="FE168" i="5"/>
  <c r="FE167" i="5"/>
  <c r="FE160" i="5"/>
  <c r="FE159" i="5"/>
  <c r="FE156" i="5"/>
  <c r="FE155" i="5"/>
  <c r="FF148" i="5"/>
  <c r="FE148" i="5"/>
  <c r="FE147" i="5"/>
  <c r="FE146" i="5"/>
  <c r="FF137" i="5"/>
  <c r="FE137" i="5"/>
  <c r="FF136" i="5"/>
  <c r="FE136" i="5"/>
  <c r="FE132" i="5"/>
  <c r="FE131" i="5"/>
  <c r="FE119" i="5"/>
  <c r="FE118" i="5"/>
  <c r="FE117" i="5"/>
  <c r="FE103" i="5"/>
  <c r="FE100" i="5"/>
  <c r="FE97" i="5"/>
  <c r="FE96" i="5"/>
  <c r="FF85" i="5"/>
  <c r="FE85" i="5"/>
  <c r="FE84" i="5"/>
  <c r="FE71" i="5"/>
  <c r="FE70" i="5"/>
  <c r="FE43" i="5"/>
  <c r="FE37" i="5"/>
  <c r="FE31" i="5"/>
  <c r="FE25" i="5"/>
  <c r="FE24" i="5"/>
  <c r="FE23" i="5"/>
  <c r="FE10" i="5"/>
  <c r="FE8" i="5"/>
  <c r="O25" i="60"/>
  <c r="N25" i="60"/>
  <c r="L25" i="60"/>
  <c r="K25" i="60"/>
  <c r="I25" i="60"/>
  <c r="H25" i="60"/>
  <c r="F25" i="60"/>
  <c r="E25" i="60"/>
  <c r="D25" i="60"/>
  <c r="C25" i="60"/>
  <c r="D14" i="60"/>
  <c r="FC39" i="5"/>
  <c r="FF39" i="5" s="1"/>
  <c r="FI39" i="5" s="1"/>
  <c r="FL39" i="5" s="1"/>
  <c r="FO39" i="5" s="1"/>
  <c r="FB347" i="5"/>
  <c r="FB336" i="5"/>
  <c r="FB331" i="5"/>
  <c r="FB324" i="5"/>
  <c r="FB320" i="5"/>
  <c r="FB316" i="5"/>
  <c r="FC313" i="5"/>
  <c r="FB313" i="5"/>
  <c r="FB312" i="5"/>
  <c r="FB242" i="5"/>
  <c r="FB241" i="5"/>
  <c r="FB216" i="5"/>
  <c r="FB214" i="5"/>
  <c r="FB212" i="5"/>
  <c r="FB205" i="5"/>
  <c r="FB204" i="5"/>
  <c r="FB180" i="5"/>
  <c r="FB168" i="5"/>
  <c r="FB160" i="5"/>
  <c r="FB159" i="5"/>
  <c r="FB156" i="5"/>
  <c r="FB155" i="5"/>
  <c r="FC148" i="5"/>
  <c r="FB148" i="5"/>
  <c r="FB147" i="5"/>
  <c r="FC137" i="5"/>
  <c r="FB137" i="5"/>
  <c r="FC136" i="5"/>
  <c r="FB136" i="5"/>
  <c r="FB132" i="5"/>
  <c r="FB119" i="5"/>
  <c r="FB118" i="5"/>
  <c r="FB103" i="5"/>
  <c r="FB100" i="5"/>
  <c r="FB97" i="5"/>
  <c r="FC85" i="5"/>
  <c r="FB85" i="5"/>
  <c r="FB71" i="5"/>
  <c r="FB70" i="5"/>
  <c r="FB37" i="5"/>
  <c r="FB25" i="5"/>
  <c r="FB24" i="5"/>
  <c r="FB10" i="5"/>
  <c r="EC126" i="4"/>
  <c r="EC122" i="4"/>
  <c r="N6" i="60" s="1"/>
  <c r="EC99" i="4"/>
  <c r="N7" i="61" s="1"/>
  <c r="EC35" i="4"/>
  <c r="N8" i="60" s="1"/>
  <c r="EC22" i="4"/>
  <c r="N5" i="60" s="1"/>
  <c r="EZ9" i="5"/>
  <c r="EZ10" i="5" s="1"/>
  <c r="EY10" i="5"/>
  <c r="EY347" i="5"/>
  <c r="EY336" i="5"/>
  <c r="EY331" i="5"/>
  <c r="EY324" i="5"/>
  <c r="EY320" i="5"/>
  <c r="EY316" i="5"/>
  <c r="EZ313" i="5"/>
  <c r="EY313" i="5"/>
  <c r="EY312" i="5"/>
  <c r="EY311" i="5"/>
  <c r="EY247" i="5"/>
  <c r="EY242" i="5"/>
  <c r="EY241" i="5"/>
  <c r="EY240" i="5"/>
  <c r="EY216" i="5"/>
  <c r="EY214" i="5"/>
  <c r="EY212" i="5"/>
  <c r="EY205" i="5"/>
  <c r="EY204" i="5"/>
  <c r="EY203" i="5"/>
  <c r="EY180" i="5"/>
  <c r="EY179" i="5"/>
  <c r="EY168" i="5"/>
  <c r="EY167" i="5"/>
  <c r="EY160" i="5"/>
  <c r="EY159" i="5"/>
  <c r="EY156" i="5"/>
  <c r="EY155" i="5"/>
  <c r="EZ148" i="5"/>
  <c r="EY148" i="5"/>
  <c r="EY147" i="5"/>
  <c r="EY146" i="5"/>
  <c r="EZ137" i="5"/>
  <c r="EY137" i="5"/>
  <c r="EZ136" i="5"/>
  <c r="EY136" i="5"/>
  <c r="EY132" i="5"/>
  <c r="EY131" i="5"/>
  <c r="EY119" i="5"/>
  <c r="EY118" i="5"/>
  <c r="EY117" i="5"/>
  <c r="EY103" i="5"/>
  <c r="EY100" i="5"/>
  <c r="EY97" i="5"/>
  <c r="EY96" i="5"/>
  <c r="EZ85" i="5"/>
  <c r="EY85" i="5"/>
  <c r="EY84" i="5"/>
  <c r="EY71" i="5"/>
  <c r="EY70" i="5"/>
  <c r="EY43" i="5"/>
  <c r="EY37" i="5"/>
  <c r="EY31" i="5"/>
  <c r="EY25" i="5"/>
  <c r="EY24" i="5"/>
  <c r="EY23" i="5"/>
  <c r="EY8" i="5"/>
  <c r="EV270" i="5"/>
  <c r="EV266" i="5"/>
  <c r="EV164" i="5"/>
  <c r="EV168" i="5" s="1"/>
  <c r="EV347" i="5"/>
  <c r="EV336" i="5"/>
  <c r="EV331" i="5"/>
  <c r="EV324" i="5"/>
  <c r="EV320" i="5"/>
  <c r="EV316" i="5"/>
  <c r="EW313" i="5"/>
  <c r="EV313" i="5"/>
  <c r="EV312" i="5"/>
  <c r="EV311" i="5"/>
  <c r="EV247" i="5"/>
  <c r="EV242" i="5"/>
  <c r="EV241" i="5"/>
  <c r="EV240" i="5"/>
  <c r="EV216" i="5"/>
  <c r="EV214" i="5"/>
  <c r="EV212" i="5"/>
  <c r="EV205" i="5"/>
  <c r="EV204" i="5"/>
  <c r="EV203" i="5"/>
  <c r="EV180" i="5"/>
  <c r="EV179" i="5"/>
  <c r="EV167" i="5"/>
  <c r="EV160" i="5"/>
  <c r="EV159" i="5"/>
  <c r="EV156" i="5"/>
  <c r="EV155" i="5"/>
  <c r="EW148" i="5"/>
  <c r="EV148" i="5"/>
  <c r="EV147" i="5"/>
  <c r="EV146" i="5"/>
  <c r="EW137" i="5"/>
  <c r="EV137" i="5"/>
  <c r="EW136" i="5"/>
  <c r="EV136" i="5"/>
  <c r="EV132" i="5"/>
  <c r="EV131" i="5"/>
  <c r="EV119" i="5"/>
  <c r="EV118" i="5"/>
  <c r="EV117" i="5"/>
  <c r="EV103" i="5"/>
  <c r="EV100" i="5"/>
  <c r="EV97" i="5"/>
  <c r="EV96" i="5"/>
  <c r="EW85" i="5"/>
  <c r="EV85" i="5"/>
  <c r="EV84" i="5"/>
  <c r="EV71" i="5"/>
  <c r="EV70" i="5"/>
  <c r="EV43" i="5"/>
  <c r="EV37" i="5"/>
  <c r="EV31" i="5"/>
  <c r="EV25" i="5"/>
  <c r="EV24" i="5"/>
  <c r="EV23" i="5"/>
  <c r="EV8" i="5"/>
  <c r="ES347" i="5"/>
  <c r="ES336" i="5"/>
  <c r="ES331" i="5"/>
  <c r="ES324" i="5"/>
  <c r="ES320" i="5"/>
  <c r="ES316" i="5"/>
  <c r="ET313" i="5"/>
  <c r="ES313" i="5"/>
  <c r="ES312" i="5"/>
  <c r="ES311" i="5"/>
  <c r="ES278" i="5"/>
  <c r="ES247" i="5"/>
  <c r="ES242" i="5"/>
  <c r="ES241" i="5"/>
  <c r="ES240" i="5"/>
  <c r="ES216" i="5"/>
  <c r="ES214" i="5"/>
  <c r="ES212" i="5"/>
  <c r="ES205" i="5"/>
  <c r="ES204" i="5"/>
  <c r="ES203" i="5"/>
  <c r="ES180" i="5"/>
  <c r="ES179" i="5"/>
  <c r="ES168" i="5"/>
  <c r="ES167" i="5"/>
  <c r="ES160" i="5"/>
  <c r="ES159" i="5"/>
  <c r="ES156" i="5"/>
  <c r="ES155" i="5"/>
  <c r="ET148" i="5"/>
  <c r="ES148" i="5"/>
  <c r="ES147" i="5"/>
  <c r="ES146" i="5"/>
  <c r="ET137" i="5"/>
  <c r="ES137" i="5"/>
  <c r="ET136" i="5"/>
  <c r="ES136" i="5"/>
  <c r="ES132" i="5"/>
  <c r="ES131" i="5"/>
  <c r="ES119" i="5"/>
  <c r="ES118" i="5"/>
  <c r="ES117" i="5"/>
  <c r="ES103" i="5"/>
  <c r="ES100" i="5"/>
  <c r="ES97" i="5"/>
  <c r="ES96" i="5"/>
  <c r="ET85" i="5"/>
  <c r="ES85" i="5"/>
  <c r="ES84" i="5"/>
  <c r="ES71" i="5"/>
  <c r="ES70" i="5"/>
  <c r="ES43" i="5"/>
  <c r="ES37" i="5"/>
  <c r="ES31" i="5"/>
  <c r="ES25" i="5"/>
  <c r="ES24" i="5"/>
  <c r="ES23" i="5"/>
  <c r="ES8" i="5"/>
  <c r="F29" i="69" l="1"/>
  <c r="F16" i="69"/>
  <c r="HA242" i="5"/>
  <c r="GX31" i="5"/>
  <c r="HA26" i="5"/>
  <c r="GX100" i="5"/>
  <c r="HA99" i="5"/>
  <c r="HA100" i="5" s="1"/>
  <c r="GX10" i="5"/>
  <c r="HA9" i="5"/>
  <c r="GX331" i="5"/>
  <c r="HA325" i="5"/>
  <c r="GX159" i="5"/>
  <c r="HA158" i="5"/>
  <c r="GX160" i="5"/>
  <c r="HA157" i="5"/>
  <c r="HA160" i="5" s="1"/>
  <c r="GX97" i="5"/>
  <c r="GX351" i="5" s="1"/>
  <c r="HA94" i="5"/>
  <c r="HA97" i="5" s="1"/>
  <c r="GX320" i="5"/>
  <c r="HA317" i="5"/>
  <c r="GX167" i="5"/>
  <c r="HA161" i="5"/>
  <c r="HA167" i="5" s="1"/>
  <c r="GX216" i="5"/>
  <c r="HA215" i="5"/>
  <c r="HA216" i="5" s="1"/>
  <c r="GX103" i="5"/>
  <c r="HA102" i="5"/>
  <c r="HA324" i="5"/>
  <c r="GX71" i="5"/>
  <c r="HA62" i="5"/>
  <c r="GX8" i="5"/>
  <c r="HA5" i="5"/>
  <c r="GX214" i="5"/>
  <c r="HA213" i="5"/>
  <c r="F14" i="68"/>
  <c r="F16" i="68" s="1"/>
  <c r="F14" i="66"/>
  <c r="F16" i="66" s="1"/>
  <c r="GR43" i="5"/>
  <c r="GU40" i="5"/>
  <c r="GX40" i="5" s="1"/>
  <c r="HA40" i="5" s="1"/>
  <c r="F14" i="67"/>
  <c r="F29" i="67" s="1"/>
  <c r="E29" i="68"/>
  <c r="E16" i="68"/>
  <c r="E16" i="67"/>
  <c r="E29" i="67"/>
  <c r="GI168" i="5"/>
  <c r="GI353" i="5" s="1"/>
  <c r="GL163" i="5"/>
  <c r="GO347" i="5"/>
  <c r="GR337" i="5"/>
  <c r="E16" i="66"/>
  <c r="GO333" i="5"/>
  <c r="GL336" i="5"/>
  <c r="I13" i="66"/>
  <c r="I13" i="67"/>
  <c r="I13" i="68"/>
  <c r="GF96" i="5"/>
  <c r="GF350" i="5" s="1"/>
  <c r="I12" i="69" s="1"/>
  <c r="I14" i="69" s="1"/>
  <c r="GI86" i="5"/>
  <c r="GL86" i="5" s="1"/>
  <c r="C10" i="65"/>
  <c r="D12" i="62"/>
  <c r="D12" i="65"/>
  <c r="C11" i="62"/>
  <c r="C11" i="65"/>
  <c r="C12" i="62"/>
  <c r="C12" i="65"/>
  <c r="FV1" i="5"/>
  <c r="FW355" i="5"/>
  <c r="FK353" i="5"/>
  <c r="Q13" i="61" s="1"/>
  <c r="FK350" i="5"/>
  <c r="Q12" i="61" s="1"/>
  <c r="FK351" i="5"/>
  <c r="N7" i="60"/>
  <c r="N9" i="60" s="1"/>
  <c r="N8" i="61"/>
  <c r="N6" i="61"/>
  <c r="N5" i="61"/>
  <c r="FH351" i="5"/>
  <c r="FH350" i="5"/>
  <c r="FH353" i="5"/>
  <c r="FE351" i="5"/>
  <c r="FE350" i="5"/>
  <c r="FE353" i="5"/>
  <c r="FB351" i="5"/>
  <c r="FB353" i="5"/>
  <c r="FC9" i="5"/>
  <c r="FB350" i="5"/>
  <c r="EC124" i="4"/>
  <c r="EC1" i="4" s="1"/>
  <c r="EY351" i="5"/>
  <c r="EY353" i="5"/>
  <c r="EY278" i="5"/>
  <c r="EY350" i="5" s="1"/>
  <c r="ES351" i="5"/>
  <c r="EV278" i="5"/>
  <c r="EV350" i="5" s="1"/>
  <c r="EV351" i="5"/>
  <c r="EV353" i="5"/>
  <c r="ES353" i="5"/>
  <c r="ES350" i="5"/>
  <c r="DZ35" i="4"/>
  <c r="DZ122" i="4"/>
  <c r="EA60" i="4"/>
  <c r="ED60" i="4" s="1"/>
  <c r="EG60" i="4" s="1"/>
  <c r="EA51" i="4"/>
  <c r="ED51" i="4" s="1"/>
  <c r="EG51" i="4" s="1"/>
  <c r="F29" i="68" l="1"/>
  <c r="HA8" i="5"/>
  <c r="HA214" i="5"/>
  <c r="HA159" i="5"/>
  <c r="I29" i="69"/>
  <c r="I16" i="69"/>
  <c r="HA351" i="5"/>
  <c r="L13" i="68"/>
  <c r="L13" i="69"/>
  <c r="HA71" i="5"/>
  <c r="HA103" i="5"/>
  <c r="HA43" i="5"/>
  <c r="HA31" i="5"/>
  <c r="HA10" i="5"/>
  <c r="HA320" i="5"/>
  <c r="HA331" i="5"/>
  <c r="F29" i="66"/>
  <c r="GX43" i="5"/>
  <c r="F16" i="67"/>
  <c r="GR347" i="5"/>
  <c r="GU337" i="5"/>
  <c r="GX337" i="5" s="1"/>
  <c r="HA337" i="5" s="1"/>
  <c r="GU43" i="5"/>
  <c r="L13" i="67"/>
  <c r="GO163" i="5"/>
  <c r="GL168" i="5"/>
  <c r="GL353" i="5" s="1"/>
  <c r="GL96" i="5"/>
  <c r="GL350" i="5" s="1"/>
  <c r="GL355" i="5" s="1"/>
  <c r="GL1" i="5" s="1"/>
  <c r="GO86" i="5"/>
  <c r="GO357" i="5" s="1"/>
  <c r="GL357" i="5"/>
  <c r="GR333" i="5"/>
  <c r="GU333" i="5" s="1"/>
  <c r="GO336" i="5"/>
  <c r="I12" i="66"/>
  <c r="I14" i="66" s="1"/>
  <c r="I16" i="66" s="1"/>
  <c r="I12" i="68"/>
  <c r="I14" i="68" s="1"/>
  <c r="I12" i="67"/>
  <c r="I14" i="67" s="1"/>
  <c r="GF355" i="5"/>
  <c r="GF1" i="5" s="1"/>
  <c r="GI96" i="5"/>
  <c r="GI350" i="5" s="1"/>
  <c r="L12" i="69" s="1"/>
  <c r="GI357" i="5"/>
  <c r="C13" i="65"/>
  <c r="C17" i="65" s="1"/>
  <c r="N9" i="61"/>
  <c r="EY355" i="5"/>
  <c r="EY1" i="5" s="1"/>
  <c r="K6" i="60"/>
  <c r="K6" i="61"/>
  <c r="K8" i="61"/>
  <c r="K8" i="60"/>
  <c r="Q14" i="61"/>
  <c r="FK355" i="5"/>
  <c r="FK1" i="5" s="1"/>
  <c r="N13" i="60"/>
  <c r="N13" i="61"/>
  <c r="N12" i="60"/>
  <c r="N12" i="61"/>
  <c r="FH355" i="5"/>
  <c r="FH1" i="5" s="1"/>
  <c r="FC10" i="5"/>
  <c r="FF9" i="5"/>
  <c r="FE355" i="5"/>
  <c r="FE1" i="5" s="1"/>
  <c r="FB355" i="5"/>
  <c r="FB1" i="5" s="1"/>
  <c r="EV355" i="5"/>
  <c r="EV1" i="5" s="1"/>
  <c r="ES355" i="5"/>
  <c r="ES1" i="5" s="1"/>
  <c r="EA45" i="4"/>
  <c r="ED45" i="4" s="1"/>
  <c r="EG45" i="4" s="1"/>
  <c r="DZ126" i="4"/>
  <c r="K6" i="59"/>
  <c r="DZ99" i="4"/>
  <c r="K8" i="59"/>
  <c r="DZ22" i="4"/>
  <c r="L25" i="59"/>
  <c r="K25" i="59"/>
  <c r="I25" i="59"/>
  <c r="H25" i="59"/>
  <c r="F25" i="59"/>
  <c r="E25" i="59"/>
  <c r="D25" i="59"/>
  <c r="C25" i="59"/>
  <c r="D14" i="59"/>
  <c r="EP347" i="5"/>
  <c r="EP336" i="5"/>
  <c r="EP331" i="5"/>
  <c r="EP324" i="5"/>
  <c r="EP320" i="5"/>
  <c r="EP316" i="5"/>
  <c r="EQ313" i="5"/>
  <c r="EP313" i="5"/>
  <c r="EP312" i="5"/>
  <c r="EP311" i="5"/>
  <c r="EP278" i="5"/>
  <c r="EP247" i="5"/>
  <c r="EP242" i="5"/>
  <c r="EP241" i="5"/>
  <c r="EP240" i="5"/>
  <c r="EP216" i="5"/>
  <c r="EP214" i="5"/>
  <c r="EP212" i="5"/>
  <c r="EP205" i="5"/>
  <c r="EP204" i="5"/>
  <c r="EP203" i="5"/>
  <c r="EP180" i="5"/>
  <c r="EP179" i="5"/>
  <c r="EP168" i="5"/>
  <c r="EP167" i="5"/>
  <c r="EP160" i="5"/>
  <c r="EP159" i="5"/>
  <c r="EP156" i="5"/>
  <c r="EP155" i="5"/>
  <c r="EQ148" i="5"/>
  <c r="EP148" i="5"/>
  <c r="EP147" i="5"/>
  <c r="EP146" i="5"/>
  <c r="EQ137" i="5"/>
  <c r="EP137" i="5"/>
  <c r="EQ136" i="5"/>
  <c r="EP136" i="5"/>
  <c r="EP132" i="5"/>
  <c r="EP131" i="5"/>
  <c r="EP119" i="5"/>
  <c r="EP118" i="5"/>
  <c r="EP117" i="5"/>
  <c r="EP103" i="5"/>
  <c r="EP100" i="5"/>
  <c r="EP97" i="5"/>
  <c r="EP96" i="5"/>
  <c r="EQ85" i="5"/>
  <c r="EP85" i="5"/>
  <c r="EP84" i="5"/>
  <c r="EP71" i="5"/>
  <c r="EP70" i="5"/>
  <c r="EP43" i="5"/>
  <c r="EP37" i="5"/>
  <c r="EP31" i="5"/>
  <c r="EP25" i="5"/>
  <c r="EP24" i="5"/>
  <c r="EP23" i="5"/>
  <c r="EP8" i="5"/>
  <c r="DX41" i="4"/>
  <c r="EA41" i="4" s="1"/>
  <c r="ED41" i="4" s="1"/>
  <c r="EG41" i="4" s="1"/>
  <c r="DU122" i="4"/>
  <c r="C6" i="69" s="1"/>
  <c r="DU99" i="4"/>
  <c r="C7" i="69" s="1"/>
  <c r="DX28" i="4"/>
  <c r="EA28" i="4" s="1"/>
  <c r="ED28" i="4" s="1"/>
  <c r="EG28" i="4" s="1"/>
  <c r="I25" i="58"/>
  <c r="H25" i="58"/>
  <c r="F25" i="58"/>
  <c r="E25" i="58"/>
  <c r="D25" i="58"/>
  <c r="C25" i="58"/>
  <c r="D14" i="58"/>
  <c r="DX113" i="4"/>
  <c r="EA113" i="4" s="1"/>
  <c r="ED113" i="4" s="1"/>
  <c r="EG113" i="4" s="1"/>
  <c r="DW126" i="4"/>
  <c r="DW122" i="4"/>
  <c r="DX116" i="4"/>
  <c r="DX115" i="4"/>
  <c r="EA115" i="4" s="1"/>
  <c r="ED115" i="4" s="1"/>
  <c r="EG115" i="4" s="1"/>
  <c r="DX114" i="4"/>
  <c r="EA114" i="4" s="1"/>
  <c r="ED114" i="4" s="1"/>
  <c r="EG114" i="4" s="1"/>
  <c r="DX112" i="4"/>
  <c r="EA112" i="4" s="1"/>
  <c r="ED112" i="4" s="1"/>
  <c r="EG112" i="4" s="1"/>
  <c r="DX111" i="4"/>
  <c r="EA111" i="4" s="1"/>
  <c r="ED111" i="4" s="1"/>
  <c r="EG111" i="4" s="1"/>
  <c r="DX109" i="4"/>
  <c r="EA109" i="4" s="1"/>
  <c r="ED109" i="4" s="1"/>
  <c r="EG109" i="4" s="1"/>
  <c r="DX108" i="4"/>
  <c r="EA108" i="4" s="1"/>
  <c r="ED108" i="4" s="1"/>
  <c r="EG108" i="4" s="1"/>
  <c r="DX107" i="4"/>
  <c r="EA107" i="4" s="1"/>
  <c r="ED107" i="4" s="1"/>
  <c r="EG107" i="4" s="1"/>
  <c r="DX106" i="4"/>
  <c r="EA106" i="4" s="1"/>
  <c r="ED106" i="4" s="1"/>
  <c r="EG106" i="4" s="1"/>
  <c r="DX105" i="4"/>
  <c r="EA105" i="4" s="1"/>
  <c r="ED105" i="4" s="1"/>
  <c r="EG105" i="4" s="1"/>
  <c r="DW99" i="4"/>
  <c r="DX97" i="4"/>
  <c r="EA97" i="4" s="1"/>
  <c r="ED97" i="4" s="1"/>
  <c r="EG97" i="4" s="1"/>
  <c r="DX96" i="4"/>
  <c r="EA96" i="4" s="1"/>
  <c r="ED96" i="4" s="1"/>
  <c r="EG96" i="4" s="1"/>
  <c r="DX94" i="4"/>
  <c r="EA94" i="4" s="1"/>
  <c r="ED94" i="4" s="1"/>
  <c r="EG94" i="4" s="1"/>
  <c r="DX93" i="4"/>
  <c r="EA93" i="4" s="1"/>
  <c r="ED93" i="4" s="1"/>
  <c r="EG93" i="4" s="1"/>
  <c r="DX92" i="4"/>
  <c r="EA92" i="4" s="1"/>
  <c r="ED92" i="4" s="1"/>
  <c r="EG92" i="4" s="1"/>
  <c r="DX90" i="4"/>
  <c r="EA90" i="4" s="1"/>
  <c r="ED90" i="4" s="1"/>
  <c r="EG90" i="4" s="1"/>
  <c r="DX89" i="4"/>
  <c r="EA89" i="4" s="1"/>
  <c r="ED89" i="4" s="1"/>
  <c r="EG89" i="4" s="1"/>
  <c r="DX88" i="4"/>
  <c r="EA88" i="4" s="1"/>
  <c r="ED88" i="4" s="1"/>
  <c r="EG88" i="4" s="1"/>
  <c r="DX85" i="4"/>
  <c r="EA85" i="4" s="1"/>
  <c r="ED85" i="4" s="1"/>
  <c r="EG85" i="4" s="1"/>
  <c r="DX83" i="4"/>
  <c r="EA83" i="4" s="1"/>
  <c r="ED83" i="4" s="1"/>
  <c r="EG83" i="4" s="1"/>
  <c r="DX78" i="4"/>
  <c r="EA78" i="4" s="1"/>
  <c r="ED78" i="4" s="1"/>
  <c r="DX77" i="4"/>
  <c r="EA77" i="4" s="1"/>
  <c r="ED77" i="4" s="1"/>
  <c r="EG77" i="4" s="1"/>
  <c r="DX76" i="4"/>
  <c r="EA76" i="4" s="1"/>
  <c r="ED76" i="4" s="1"/>
  <c r="EG76" i="4" s="1"/>
  <c r="DX71" i="4"/>
  <c r="EA71" i="4" s="1"/>
  <c r="ED71" i="4" s="1"/>
  <c r="EG71" i="4" s="1"/>
  <c r="DX67" i="4"/>
  <c r="EA67" i="4" s="1"/>
  <c r="ED67" i="4" s="1"/>
  <c r="EG67" i="4" s="1"/>
  <c r="DX66" i="4"/>
  <c r="EA66" i="4" s="1"/>
  <c r="ED66" i="4" s="1"/>
  <c r="EG66" i="4" s="1"/>
  <c r="DX56" i="4"/>
  <c r="EA56" i="4" s="1"/>
  <c r="ED56" i="4" s="1"/>
  <c r="EG56" i="4" s="1"/>
  <c r="DX55" i="4"/>
  <c r="EA55" i="4" s="1"/>
  <c r="ED55" i="4" s="1"/>
  <c r="EG55" i="4" s="1"/>
  <c r="DX40" i="4"/>
  <c r="EA40" i="4" s="1"/>
  <c r="ED40" i="4" s="1"/>
  <c r="EG40" i="4" s="1"/>
  <c r="DX37" i="4"/>
  <c r="EA37" i="4" s="1"/>
  <c r="ED37" i="4" s="1"/>
  <c r="EG37" i="4" s="1"/>
  <c r="DW35" i="4"/>
  <c r="DX31" i="4"/>
  <c r="EA31" i="4" s="1"/>
  <c r="ED31" i="4" s="1"/>
  <c r="EG31" i="4" s="1"/>
  <c r="DX30" i="4"/>
  <c r="EA30" i="4" s="1"/>
  <c r="ED30" i="4" s="1"/>
  <c r="EG30" i="4" s="1"/>
  <c r="DX29" i="4"/>
  <c r="EA29" i="4" s="1"/>
  <c r="ED29" i="4" s="1"/>
  <c r="EG29" i="4" s="1"/>
  <c r="DX27" i="4"/>
  <c r="EA27" i="4" s="1"/>
  <c r="ED27" i="4" s="1"/>
  <c r="DX26" i="4"/>
  <c r="EA26" i="4" s="1"/>
  <c r="ED26" i="4" s="1"/>
  <c r="EG26" i="4" s="1"/>
  <c r="DX25" i="4"/>
  <c r="EA25" i="4" s="1"/>
  <c r="ED25" i="4" s="1"/>
  <c r="EG25" i="4" s="1"/>
  <c r="DX24" i="4"/>
  <c r="EA24" i="4" s="1"/>
  <c r="ED24" i="4" s="1"/>
  <c r="DW22" i="4"/>
  <c r="DX21" i="4"/>
  <c r="EA21" i="4" s="1"/>
  <c r="ED21" i="4" s="1"/>
  <c r="EG21" i="4" s="1"/>
  <c r="DX18" i="4"/>
  <c r="EA18" i="4" s="1"/>
  <c r="ED18" i="4" s="1"/>
  <c r="EG18" i="4" s="1"/>
  <c r="DX17" i="4"/>
  <c r="EA17" i="4" s="1"/>
  <c r="ED17" i="4" s="1"/>
  <c r="EG17" i="4" s="1"/>
  <c r="DX16" i="4"/>
  <c r="EA16" i="4" s="1"/>
  <c r="ED16" i="4" s="1"/>
  <c r="EG16" i="4" s="1"/>
  <c r="DX15" i="4"/>
  <c r="EA15" i="4" s="1"/>
  <c r="ED15" i="4" s="1"/>
  <c r="EG15" i="4" s="1"/>
  <c r="DX13" i="4"/>
  <c r="EA13" i="4" s="1"/>
  <c r="ED13" i="4" s="1"/>
  <c r="EG13" i="4" s="1"/>
  <c r="DX12" i="4"/>
  <c r="EA12" i="4" s="1"/>
  <c r="ED12" i="4" s="1"/>
  <c r="EG12" i="4" s="1"/>
  <c r="DX11" i="4"/>
  <c r="EA11" i="4" s="1"/>
  <c r="ED11" i="4" s="1"/>
  <c r="EG11" i="4" s="1"/>
  <c r="DX10" i="4"/>
  <c r="EA10" i="4" s="1"/>
  <c r="ED10" i="4" s="1"/>
  <c r="EG10" i="4" s="1"/>
  <c r="DX9" i="4"/>
  <c r="EA9" i="4" s="1"/>
  <c r="ED9" i="4" s="1"/>
  <c r="EG9" i="4" s="1"/>
  <c r="DX8" i="4"/>
  <c r="EA8" i="4" s="1"/>
  <c r="ED8" i="4" s="1"/>
  <c r="EG8" i="4" s="1"/>
  <c r="DX7" i="4"/>
  <c r="EA7" i="4" s="1"/>
  <c r="ED7" i="4" s="1"/>
  <c r="EG7" i="4" s="1"/>
  <c r="DX6" i="4"/>
  <c r="EA6" i="4" s="1"/>
  <c r="ED6" i="4" s="1"/>
  <c r="EG6" i="4" s="1"/>
  <c r="DX5" i="4"/>
  <c r="EN333" i="5"/>
  <c r="EQ333" i="5" s="1"/>
  <c r="ET333" i="5" s="1"/>
  <c r="EW333" i="5" s="1"/>
  <c r="EZ333" i="5" s="1"/>
  <c r="FC333" i="5" s="1"/>
  <c r="FF333" i="5" s="1"/>
  <c r="FI333" i="5" s="1"/>
  <c r="FL333" i="5" s="1"/>
  <c r="FO333" i="5" s="1"/>
  <c r="EM347" i="5"/>
  <c r="EN270" i="5"/>
  <c r="EQ270" i="5" s="1"/>
  <c r="ET270" i="5" s="1"/>
  <c r="EW270" i="5" s="1"/>
  <c r="EZ270" i="5" s="1"/>
  <c r="FC270" i="5" s="1"/>
  <c r="FF270" i="5" s="1"/>
  <c r="FI270" i="5" s="1"/>
  <c r="FL270" i="5" s="1"/>
  <c r="FO270" i="5" s="1"/>
  <c r="EN269" i="5"/>
  <c r="EQ269" i="5" s="1"/>
  <c r="ET269" i="5" s="1"/>
  <c r="EW269" i="5" s="1"/>
  <c r="EZ269" i="5" s="1"/>
  <c r="FC269" i="5" s="1"/>
  <c r="FF269" i="5" s="1"/>
  <c r="FI269" i="5" s="1"/>
  <c r="FL269" i="5" s="1"/>
  <c r="FO269" i="5" s="1"/>
  <c r="EN268" i="5"/>
  <c r="EQ268" i="5" s="1"/>
  <c r="ET268" i="5" s="1"/>
  <c r="EW268" i="5" s="1"/>
  <c r="EZ268" i="5" s="1"/>
  <c r="FC268" i="5" s="1"/>
  <c r="FF268" i="5" s="1"/>
  <c r="FI268" i="5" s="1"/>
  <c r="FL268" i="5" s="1"/>
  <c r="FO268" i="5" s="1"/>
  <c r="EN267" i="5"/>
  <c r="EQ267" i="5" s="1"/>
  <c r="ET267" i="5" s="1"/>
  <c r="EW267" i="5" s="1"/>
  <c r="EZ267" i="5" s="1"/>
  <c r="FC267" i="5" s="1"/>
  <c r="FF267" i="5" s="1"/>
  <c r="FI267" i="5" s="1"/>
  <c r="FL267" i="5" s="1"/>
  <c r="FO267" i="5" s="1"/>
  <c r="EN266" i="5"/>
  <c r="EQ266" i="5" s="1"/>
  <c r="ET266" i="5" s="1"/>
  <c r="EW266" i="5" s="1"/>
  <c r="EZ266" i="5" s="1"/>
  <c r="FC266" i="5" s="1"/>
  <c r="FF266" i="5" s="1"/>
  <c r="FI266" i="5" s="1"/>
  <c r="FL266" i="5" s="1"/>
  <c r="FO266" i="5" s="1"/>
  <c r="EN264" i="5"/>
  <c r="EQ264" i="5" s="1"/>
  <c r="ET264" i="5" s="1"/>
  <c r="EW264" i="5" s="1"/>
  <c r="EZ264" i="5" s="1"/>
  <c r="FC264" i="5" s="1"/>
  <c r="FF264" i="5" s="1"/>
  <c r="FI264" i="5" s="1"/>
  <c r="FL264" i="5" s="1"/>
  <c r="FO264" i="5" s="1"/>
  <c r="EN263" i="5"/>
  <c r="EQ263" i="5" s="1"/>
  <c r="ET263" i="5" s="1"/>
  <c r="EW263" i="5" s="1"/>
  <c r="EZ263" i="5" s="1"/>
  <c r="FC263" i="5" s="1"/>
  <c r="FF263" i="5" s="1"/>
  <c r="FI263" i="5" s="1"/>
  <c r="FL263" i="5" s="1"/>
  <c r="FO263" i="5" s="1"/>
  <c r="EN262" i="5"/>
  <c r="EQ262" i="5" s="1"/>
  <c r="ET262" i="5" s="1"/>
  <c r="EW262" i="5" s="1"/>
  <c r="EZ262" i="5" s="1"/>
  <c r="FC262" i="5" s="1"/>
  <c r="FF262" i="5" s="1"/>
  <c r="FI262" i="5" s="1"/>
  <c r="FL262" i="5" s="1"/>
  <c r="FO262" i="5" s="1"/>
  <c r="EN258" i="5"/>
  <c r="EQ258" i="5" s="1"/>
  <c r="ET258" i="5" s="1"/>
  <c r="EW258" i="5" s="1"/>
  <c r="EZ258" i="5" s="1"/>
  <c r="FC258" i="5" s="1"/>
  <c r="FF258" i="5" s="1"/>
  <c r="EN104" i="5"/>
  <c r="EQ104" i="5" s="1"/>
  <c r="ET104" i="5" s="1"/>
  <c r="EN105" i="5"/>
  <c r="EQ105" i="5" s="1"/>
  <c r="ET105" i="5" s="1"/>
  <c r="EW105" i="5" s="1"/>
  <c r="EZ105" i="5" s="1"/>
  <c r="FC105" i="5" s="1"/>
  <c r="FF105" i="5" s="1"/>
  <c r="FI105" i="5" s="1"/>
  <c r="FL105" i="5" s="1"/>
  <c r="FO105" i="5" s="1"/>
  <c r="EN106" i="5"/>
  <c r="EQ106" i="5" s="1"/>
  <c r="ET106" i="5" s="1"/>
  <c r="EW106" i="5" s="1"/>
  <c r="EZ106" i="5" s="1"/>
  <c r="FC106" i="5" s="1"/>
  <c r="FF106" i="5" s="1"/>
  <c r="FI106" i="5" s="1"/>
  <c r="FL106" i="5" s="1"/>
  <c r="FO106" i="5" s="1"/>
  <c r="EN107" i="5"/>
  <c r="EQ107" i="5" s="1"/>
  <c r="ET107" i="5" s="1"/>
  <c r="EW107" i="5" s="1"/>
  <c r="EZ107" i="5" s="1"/>
  <c r="FC107" i="5" s="1"/>
  <c r="FF107" i="5" s="1"/>
  <c r="FI107" i="5" s="1"/>
  <c r="FL107" i="5" s="1"/>
  <c r="FO107" i="5" s="1"/>
  <c r="EM71" i="5"/>
  <c r="EM70" i="5"/>
  <c r="EN343" i="5"/>
  <c r="EQ343" i="5" s="1"/>
  <c r="ET343" i="5" s="1"/>
  <c r="EW343" i="5" s="1"/>
  <c r="EZ343" i="5" s="1"/>
  <c r="FC343" i="5" s="1"/>
  <c r="FF343" i="5" s="1"/>
  <c r="FI343" i="5" s="1"/>
  <c r="FL343" i="5" s="1"/>
  <c r="FO343" i="5" s="1"/>
  <c r="EN337" i="5"/>
  <c r="EQ337" i="5" s="1"/>
  <c r="ET337" i="5" s="1"/>
  <c r="EN172" i="5"/>
  <c r="EQ172" i="5" s="1"/>
  <c r="ET172" i="5" s="1"/>
  <c r="EW172" i="5" s="1"/>
  <c r="EZ172" i="5" s="1"/>
  <c r="FC172" i="5" s="1"/>
  <c r="FF172" i="5" s="1"/>
  <c r="FI172" i="5" s="1"/>
  <c r="FL172" i="5" s="1"/>
  <c r="FO172" i="5" s="1"/>
  <c r="EN344" i="5"/>
  <c r="EQ344" i="5" s="1"/>
  <c r="ET344" i="5" s="1"/>
  <c r="EW344" i="5" s="1"/>
  <c r="EZ344" i="5" s="1"/>
  <c r="FC344" i="5" s="1"/>
  <c r="FF344" i="5" s="1"/>
  <c r="FI344" i="5" s="1"/>
  <c r="FL344" i="5" s="1"/>
  <c r="FO344" i="5" s="1"/>
  <c r="EN342" i="5"/>
  <c r="EQ342" i="5" s="1"/>
  <c r="ET342" i="5" s="1"/>
  <c r="EW342" i="5" s="1"/>
  <c r="EZ342" i="5" s="1"/>
  <c r="FC342" i="5" s="1"/>
  <c r="FF342" i="5" s="1"/>
  <c r="FI342" i="5" s="1"/>
  <c r="FL342" i="5" s="1"/>
  <c r="FO342" i="5" s="1"/>
  <c r="EN341" i="5"/>
  <c r="EQ341" i="5" s="1"/>
  <c r="ET341" i="5" s="1"/>
  <c r="EW341" i="5" s="1"/>
  <c r="EZ341" i="5" s="1"/>
  <c r="FC341" i="5" s="1"/>
  <c r="FF341" i="5" s="1"/>
  <c r="FI341" i="5" s="1"/>
  <c r="FL341" i="5" s="1"/>
  <c r="FO341" i="5" s="1"/>
  <c r="EN340" i="5"/>
  <c r="EQ340" i="5" s="1"/>
  <c r="ET340" i="5" s="1"/>
  <c r="EW340" i="5" s="1"/>
  <c r="EZ340" i="5" s="1"/>
  <c r="FC340" i="5" s="1"/>
  <c r="FF340" i="5" s="1"/>
  <c r="FI340" i="5" s="1"/>
  <c r="FL340" i="5" s="1"/>
  <c r="FO340" i="5" s="1"/>
  <c r="EM336" i="5"/>
  <c r="EN332" i="5"/>
  <c r="EQ332" i="5" s="1"/>
  <c r="ET332" i="5" s="1"/>
  <c r="EM331" i="5"/>
  <c r="EN325" i="5"/>
  <c r="EN331" i="5" s="1"/>
  <c r="EM324" i="5"/>
  <c r="EN321" i="5"/>
  <c r="EN324" i="5" s="1"/>
  <c r="EM320" i="5"/>
  <c r="EN317" i="5"/>
  <c r="EN320" i="5" s="1"/>
  <c r="EM316" i="5"/>
  <c r="EN314" i="5"/>
  <c r="EN316" i="5" s="1"/>
  <c r="EN313" i="5"/>
  <c r="EM313" i="5"/>
  <c r="EM312" i="5"/>
  <c r="EM311" i="5"/>
  <c r="EN309" i="5"/>
  <c r="EQ309" i="5" s="1"/>
  <c r="ET309" i="5" s="1"/>
  <c r="EW309" i="5" s="1"/>
  <c r="EZ309" i="5" s="1"/>
  <c r="FC309" i="5" s="1"/>
  <c r="FF309" i="5" s="1"/>
  <c r="FI309" i="5" s="1"/>
  <c r="FL309" i="5" s="1"/>
  <c r="FO309" i="5" s="1"/>
  <c r="EN308" i="5"/>
  <c r="EQ308" i="5" s="1"/>
  <c r="ET308" i="5" s="1"/>
  <c r="EW308" i="5" s="1"/>
  <c r="EZ308" i="5" s="1"/>
  <c r="FC308" i="5" s="1"/>
  <c r="FF308" i="5" s="1"/>
  <c r="FI308" i="5" s="1"/>
  <c r="FL308" i="5" s="1"/>
  <c r="FO308" i="5" s="1"/>
  <c r="EN307" i="5"/>
  <c r="EQ307" i="5" s="1"/>
  <c r="ET307" i="5" s="1"/>
  <c r="EW307" i="5" s="1"/>
  <c r="EZ307" i="5" s="1"/>
  <c r="FC307" i="5" s="1"/>
  <c r="FF307" i="5" s="1"/>
  <c r="FI307" i="5" s="1"/>
  <c r="FL307" i="5" s="1"/>
  <c r="FO307" i="5" s="1"/>
  <c r="EN306" i="5"/>
  <c r="EQ306" i="5" s="1"/>
  <c r="ET306" i="5" s="1"/>
  <c r="EW306" i="5" s="1"/>
  <c r="EZ306" i="5" s="1"/>
  <c r="FC306" i="5" s="1"/>
  <c r="FF306" i="5" s="1"/>
  <c r="FI306" i="5" s="1"/>
  <c r="FL306" i="5" s="1"/>
  <c r="FO306" i="5" s="1"/>
  <c r="EN305" i="5"/>
  <c r="EQ305" i="5" s="1"/>
  <c r="ET305" i="5" s="1"/>
  <c r="EW305" i="5" s="1"/>
  <c r="EZ305" i="5" s="1"/>
  <c r="FC305" i="5" s="1"/>
  <c r="FF305" i="5" s="1"/>
  <c r="FI305" i="5" s="1"/>
  <c r="FL305" i="5" s="1"/>
  <c r="FO305" i="5" s="1"/>
  <c r="EN304" i="5"/>
  <c r="EQ304" i="5" s="1"/>
  <c r="ET304" i="5" s="1"/>
  <c r="EW304" i="5" s="1"/>
  <c r="EZ304" i="5" s="1"/>
  <c r="FC304" i="5" s="1"/>
  <c r="FF304" i="5" s="1"/>
  <c r="FI304" i="5" s="1"/>
  <c r="FL304" i="5" s="1"/>
  <c r="FO304" i="5" s="1"/>
  <c r="EN303" i="5"/>
  <c r="EQ303" i="5" s="1"/>
  <c r="ET303" i="5" s="1"/>
  <c r="EW303" i="5" s="1"/>
  <c r="EZ303" i="5" s="1"/>
  <c r="FC303" i="5" s="1"/>
  <c r="FF303" i="5" s="1"/>
  <c r="FI303" i="5" s="1"/>
  <c r="FL303" i="5" s="1"/>
  <c r="FO303" i="5" s="1"/>
  <c r="EN302" i="5"/>
  <c r="EQ302" i="5" s="1"/>
  <c r="ET302" i="5" s="1"/>
  <c r="EW302" i="5" s="1"/>
  <c r="EZ302" i="5" s="1"/>
  <c r="FC302" i="5" s="1"/>
  <c r="FF302" i="5" s="1"/>
  <c r="FI302" i="5" s="1"/>
  <c r="FL302" i="5" s="1"/>
  <c r="FO302" i="5" s="1"/>
  <c r="EN301" i="5"/>
  <c r="EQ301" i="5" s="1"/>
  <c r="ET301" i="5" s="1"/>
  <c r="EW301" i="5" s="1"/>
  <c r="EZ301" i="5" s="1"/>
  <c r="FC301" i="5" s="1"/>
  <c r="FF301" i="5" s="1"/>
  <c r="FI301" i="5" s="1"/>
  <c r="FL301" i="5" s="1"/>
  <c r="FO301" i="5" s="1"/>
  <c r="EN300" i="5"/>
  <c r="EN312" i="5" s="1"/>
  <c r="EN299" i="5"/>
  <c r="EQ299" i="5" s="1"/>
  <c r="ET299" i="5" s="1"/>
  <c r="EW299" i="5" s="1"/>
  <c r="EZ299" i="5" s="1"/>
  <c r="FC299" i="5" s="1"/>
  <c r="FF299" i="5" s="1"/>
  <c r="FI299" i="5" s="1"/>
  <c r="FL299" i="5" s="1"/>
  <c r="FO299" i="5" s="1"/>
  <c r="EN298" i="5"/>
  <c r="EQ298" i="5" s="1"/>
  <c r="ET298" i="5" s="1"/>
  <c r="EW298" i="5" s="1"/>
  <c r="EZ298" i="5" s="1"/>
  <c r="FC298" i="5" s="1"/>
  <c r="FF298" i="5" s="1"/>
  <c r="FI298" i="5" s="1"/>
  <c r="FL298" i="5" s="1"/>
  <c r="FO298" i="5" s="1"/>
  <c r="EN297" i="5"/>
  <c r="EQ297" i="5" s="1"/>
  <c r="ET297" i="5" s="1"/>
  <c r="EW297" i="5" s="1"/>
  <c r="EZ297" i="5" s="1"/>
  <c r="FC297" i="5" s="1"/>
  <c r="FF297" i="5" s="1"/>
  <c r="FI297" i="5" s="1"/>
  <c r="FL297" i="5" s="1"/>
  <c r="FO297" i="5" s="1"/>
  <c r="EN296" i="5"/>
  <c r="EQ296" i="5" s="1"/>
  <c r="ET296" i="5" s="1"/>
  <c r="EW296" i="5" s="1"/>
  <c r="EZ296" i="5" s="1"/>
  <c r="FC296" i="5" s="1"/>
  <c r="FF296" i="5" s="1"/>
  <c r="FI296" i="5" s="1"/>
  <c r="FL296" i="5" s="1"/>
  <c r="FO296" i="5" s="1"/>
  <c r="EN295" i="5"/>
  <c r="EQ295" i="5" s="1"/>
  <c r="ET295" i="5" s="1"/>
  <c r="EW295" i="5" s="1"/>
  <c r="EZ295" i="5" s="1"/>
  <c r="FC295" i="5" s="1"/>
  <c r="FF295" i="5" s="1"/>
  <c r="FI295" i="5" s="1"/>
  <c r="FL295" i="5" s="1"/>
  <c r="FO295" i="5" s="1"/>
  <c r="EN294" i="5"/>
  <c r="EN293" i="5"/>
  <c r="EQ293" i="5" s="1"/>
  <c r="ET293" i="5" s="1"/>
  <c r="EW293" i="5" s="1"/>
  <c r="EZ293" i="5" s="1"/>
  <c r="FC293" i="5" s="1"/>
  <c r="FF293" i="5" s="1"/>
  <c r="FI293" i="5" s="1"/>
  <c r="FL293" i="5" s="1"/>
  <c r="FO293" i="5" s="1"/>
  <c r="EN292" i="5"/>
  <c r="EQ292" i="5" s="1"/>
  <c r="ET292" i="5" s="1"/>
  <c r="EW292" i="5" s="1"/>
  <c r="EZ292" i="5" s="1"/>
  <c r="FC292" i="5" s="1"/>
  <c r="FF292" i="5" s="1"/>
  <c r="FI292" i="5" s="1"/>
  <c r="FL292" i="5" s="1"/>
  <c r="FO292" i="5" s="1"/>
  <c r="EN291" i="5"/>
  <c r="EQ291" i="5" s="1"/>
  <c r="ET291" i="5" s="1"/>
  <c r="EW291" i="5" s="1"/>
  <c r="EZ291" i="5" s="1"/>
  <c r="FC291" i="5" s="1"/>
  <c r="FF291" i="5" s="1"/>
  <c r="FI291" i="5" s="1"/>
  <c r="FL291" i="5" s="1"/>
  <c r="FO291" i="5" s="1"/>
  <c r="EN289" i="5"/>
  <c r="EQ289" i="5" s="1"/>
  <c r="ET289" i="5" s="1"/>
  <c r="EW289" i="5" s="1"/>
  <c r="EZ289" i="5" s="1"/>
  <c r="FC289" i="5" s="1"/>
  <c r="FF289" i="5" s="1"/>
  <c r="FI289" i="5" s="1"/>
  <c r="FL289" i="5" s="1"/>
  <c r="FO289" i="5" s="1"/>
  <c r="EN288" i="5"/>
  <c r="EQ288" i="5" s="1"/>
  <c r="ET288" i="5" s="1"/>
  <c r="EW288" i="5" s="1"/>
  <c r="EZ288" i="5" s="1"/>
  <c r="FC288" i="5" s="1"/>
  <c r="FF288" i="5" s="1"/>
  <c r="FI288" i="5" s="1"/>
  <c r="FL288" i="5" s="1"/>
  <c r="FO288" i="5" s="1"/>
  <c r="EN287" i="5"/>
  <c r="EQ287" i="5" s="1"/>
  <c r="ET287" i="5" s="1"/>
  <c r="EW287" i="5" s="1"/>
  <c r="EZ287" i="5" s="1"/>
  <c r="FC287" i="5" s="1"/>
  <c r="FF287" i="5" s="1"/>
  <c r="FI287" i="5" s="1"/>
  <c r="FL287" i="5" s="1"/>
  <c r="FO287" i="5" s="1"/>
  <c r="EN286" i="5"/>
  <c r="EQ286" i="5" s="1"/>
  <c r="ET286" i="5" s="1"/>
  <c r="EW286" i="5" s="1"/>
  <c r="EZ286" i="5" s="1"/>
  <c r="FC286" i="5" s="1"/>
  <c r="FF286" i="5" s="1"/>
  <c r="FI286" i="5" s="1"/>
  <c r="FL286" i="5" s="1"/>
  <c r="FO286" i="5" s="1"/>
  <c r="EN285" i="5"/>
  <c r="EQ285" i="5" s="1"/>
  <c r="ET285" i="5" s="1"/>
  <c r="EW285" i="5" s="1"/>
  <c r="EZ285" i="5" s="1"/>
  <c r="FC285" i="5" s="1"/>
  <c r="FF285" i="5" s="1"/>
  <c r="FI285" i="5" s="1"/>
  <c r="FL285" i="5" s="1"/>
  <c r="FO285" i="5" s="1"/>
  <c r="EN284" i="5"/>
  <c r="EQ284" i="5" s="1"/>
  <c r="ET284" i="5" s="1"/>
  <c r="EW284" i="5" s="1"/>
  <c r="EZ284" i="5" s="1"/>
  <c r="FC284" i="5" s="1"/>
  <c r="FF284" i="5" s="1"/>
  <c r="FI284" i="5" s="1"/>
  <c r="FL284" i="5" s="1"/>
  <c r="FO284" i="5" s="1"/>
  <c r="EN283" i="5"/>
  <c r="EQ283" i="5" s="1"/>
  <c r="ET283" i="5" s="1"/>
  <c r="EW283" i="5" s="1"/>
  <c r="EZ283" i="5" s="1"/>
  <c r="FC283" i="5" s="1"/>
  <c r="FF283" i="5" s="1"/>
  <c r="FI283" i="5" s="1"/>
  <c r="FL283" i="5" s="1"/>
  <c r="FO283" i="5" s="1"/>
  <c r="EN282" i="5"/>
  <c r="EQ282" i="5" s="1"/>
  <c r="ET282" i="5" s="1"/>
  <c r="EW282" i="5" s="1"/>
  <c r="EZ282" i="5" s="1"/>
  <c r="FC282" i="5" s="1"/>
  <c r="FF282" i="5" s="1"/>
  <c r="FI282" i="5" s="1"/>
  <c r="FL282" i="5" s="1"/>
  <c r="FO282" i="5" s="1"/>
  <c r="EN281" i="5"/>
  <c r="EQ281" i="5" s="1"/>
  <c r="ET281" i="5" s="1"/>
  <c r="EW281" i="5" s="1"/>
  <c r="EZ281" i="5" s="1"/>
  <c r="FC281" i="5" s="1"/>
  <c r="FF281" i="5" s="1"/>
  <c r="FI281" i="5" s="1"/>
  <c r="FL281" i="5" s="1"/>
  <c r="FO281" i="5" s="1"/>
  <c r="EN280" i="5"/>
  <c r="EQ280" i="5" s="1"/>
  <c r="ET280" i="5" s="1"/>
  <c r="EN279" i="5"/>
  <c r="EQ279" i="5" s="1"/>
  <c r="ET279" i="5" s="1"/>
  <c r="EW279" i="5" s="1"/>
  <c r="EZ279" i="5" s="1"/>
  <c r="FC279" i="5" s="1"/>
  <c r="EM278" i="5"/>
  <c r="EN276" i="5"/>
  <c r="EQ276" i="5" s="1"/>
  <c r="ET276" i="5" s="1"/>
  <c r="EW276" i="5" s="1"/>
  <c r="EZ276" i="5" s="1"/>
  <c r="FC276" i="5" s="1"/>
  <c r="FF276" i="5" s="1"/>
  <c r="FI276" i="5" s="1"/>
  <c r="FL276" i="5" s="1"/>
  <c r="FO276" i="5" s="1"/>
  <c r="EN275" i="5"/>
  <c r="EQ275" i="5" s="1"/>
  <c r="ET275" i="5" s="1"/>
  <c r="EW275" i="5" s="1"/>
  <c r="EZ275" i="5" s="1"/>
  <c r="FC275" i="5" s="1"/>
  <c r="FF275" i="5" s="1"/>
  <c r="FI275" i="5" s="1"/>
  <c r="FL275" i="5" s="1"/>
  <c r="FO275" i="5" s="1"/>
  <c r="EN274" i="5"/>
  <c r="EQ274" i="5" s="1"/>
  <c r="ET274" i="5" s="1"/>
  <c r="EW274" i="5" s="1"/>
  <c r="EZ274" i="5" s="1"/>
  <c r="FC274" i="5" s="1"/>
  <c r="FF274" i="5" s="1"/>
  <c r="FI274" i="5" s="1"/>
  <c r="FL274" i="5" s="1"/>
  <c r="FO274" i="5" s="1"/>
  <c r="EN273" i="5"/>
  <c r="EQ273" i="5" s="1"/>
  <c r="ET273" i="5" s="1"/>
  <c r="EW273" i="5" s="1"/>
  <c r="EZ273" i="5" s="1"/>
  <c r="FC273" i="5" s="1"/>
  <c r="FF273" i="5" s="1"/>
  <c r="FI273" i="5" s="1"/>
  <c r="FL273" i="5" s="1"/>
  <c r="FO273" i="5" s="1"/>
  <c r="EN272" i="5"/>
  <c r="EQ272" i="5" s="1"/>
  <c r="ET272" i="5" s="1"/>
  <c r="EW272" i="5" s="1"/>
  <c r="EZ272" i="5" s="1"/>
  <c r="FC272" i="5" s="1"/>
  <c r="FF272" i="5" s="1"/>
  <c r="FI272" i="5" s="1"/>
  <c r="FL272" i="5" s="1"/>
  <c r="FO272" i="5" s="1"/>
  <c r="EN255" i="5"/>
  <c r="EQ255" i="5" s="1"/>
  <c r="ET255" i="5" s="1"/>
  <c r="EW255" i="5" s="1"/>
  <c r="EZ255" i="5" s="1"/>
  <c r="FC255" i="5" s="1"/>
  <c r="FF255" i="5" s="1"/>
  <c r="FI255" i="5" s="1"/>
  <c r="FL255" i="5" s="1"/>
  <c r="FO255" i="5" s="1"/>
  <c r="EN254" i="5"/>
  <c r="EQ254" i="5" s="1"/>
  <c r="ET254" i="5" s="1"/>
  <c r="EW254" i="5" s="1"/>
  <c r="EZ254" i="5" s="1"/>
  <c r="FC254" i="5" s="1"/>
  <c r="FF254" i="5" s="1"/>
  <c r="FI254" i="5" s="1"/>
  <c r="FL254" i="5" s="1"/>
  <c r="FO254" i="5" s="1"/>
  <c r="EN252" i="5"/>
  <c r="EQ252" i="5" s="1"/>
  <c r="ET252" i="5" s="1"/>
  <c r="EW252" i="5" s="1"/>
  <c r="EZ252" i="5" s="1"/>
  <c r="FC252" i="5" s="1"/>
  <c r="FF252" i="5" s="1"/>
  <c r="FI252" i="5" s="1"/>
  <c r="FL252" i="5" s="1"/>
  <c r="FO252" i="5" s="1"/>
  <c r="EN251" i="5"/>
  <c r="EQ251" i="5" s="1"/>
  <c r="ET251" i="5" s="1"/>
  <c r="EW251" i="5" s="1"/>
  <c r="EZ251" i="5" s="1"/>
  <c r="FC251" i="5" s="1"/>
  <c r="FF251" i="5" s="1"/>
  <c r="FI251" i="5" s="1"/>
  <c r="FL251" i="5" s="1"/>
  <c r="FO251" i="5" s="1"/>
  <c r="EN250" i="5"/>
  <c r="EQ250" i="5" s="1"/>
  <c r="ET250" i="5" s="1"/>
  <c r="EW250" i="5" s="1"/>
  <c r="EZ250" i="5" s="1"/>
  <c r="FC250" i="5" s="1"/>
  <c r="FF250" i="5" s="1"/>
  <c r="FI250" i="5" s="1"/>
  <c r="FL250" i="5" s="1"/>
  <c r="FO250" i="5" s="1"/>
  <c r="EN249" i="5"/>
  <c r="EQ249" i="5" s="1"/>
  <c r="ET249" i="5" s="1"/>
  <c r="EW249" i="5" s="1"/>
  <c r="EZ249" i="5" s="1"/>
  <c r="FC249" i="5" s="1"/>
  <c r="FF249" i="5" s="1"/>
  <c r="FI249" i="5" s="1"/>
  <c r="FL249" i="5" s="1"/>
  <c r="FO249" i="5" s="1"/>
  <c r="EN248" i="5"/>
  <c r="EQ248" i="5" s="1"/>
  <c r="ET248" i="5" s="1"/>
  <c r="EM247" i="5"/>
  <c r="EN245" i="5"/>
  <c r="EQ245" i="5" s="1"/>
  <c r="ET245" i="5" s="1"/>
  <c r="EW245" i="5" s="1"/>
  <c r="EZ245" i="5" s="1"/>
  <c r="FC245" i="5" s="1"/>
  <c r="FF245" i="5" s="1"/>
  <c r="FI245" i="5" s="1"/>
  <c r="FL245" i="5" s="1"/>
  <c r="FO245" i="5" s="1"/>
  <c r="EN244" i="5"/>
  <c r="EQ244" i="5" s="1"/>
  <c r="ET244" i="5" s="1"/>
  <c r="EW244" i="5" s="1"/>
  <c r="EZ244" i="5" s="1"/>
  <c r="FC244" i="5" s="1"/>
  <c r="FF244" i="5" s="1"/>
  <c r="FI244" i="5" s="1"/>
  <c r="FL244" i="5" s="1"/>
  <c r="FO244" i="5" s="1"/>
  <c r="EN243" i="5"/>
  <c r="EQ243" i="5" s="1"/>
  <c r="ET243" i="5" s="1"/>
  <c r="EM242" i="5"/>
  <c r="EM241" i="5"/>
  <c r="EM240" i="5"/>
  <c r="EN237" i="5"/>
  <c r="EQ237" i="5" s="1"/>
  <c r="ET237" i="5" s="1"/>
  <c r="EN235" i="5"/>
  <c r="EQ235" i="5" s="1"/>
  <c r="ET235" i="5" s="1"/>
  <c r="EW235" i="5" s="1"/>
  <c r="EZ235" i="5" s="1"/>
  <c r="FC235" i="5" s="1"/>
  <c r="FF235" i="5" s="1"/>
  <c r="FI235" i="5" s="1"/>
  <c r="FL235" i="5" s="1"/>
  <c r="FO235" i="5" s="1"/>
  <c r="EN234" i="5"/>
  <c r="EQ234" i="5" s="1"/>
  <c r="ET234" i="5" s="1"/>
  <c r="EW234" i="5" s="1"/>
  <c r="EZ234" i="5" s="1"/>
  <c r="FC234" i="5" s="1"/>
  <c r="FF234" i="5" s="1"/>
  <c r="FI234" i="5" s="1"/>
  <c r="FL234" i="5" s="1"/>
  <c r="FO234" i="5" s="1"/>
  <c r="EN233" i="5"/>
  <c r="EQ233" i="5" s="1"/>
  <c r="ET233" i="5" s="1"/>
  <c r="EW233" i="5" s="1"/>
  <c r="EZ233" i="5" s="1"/>
  <c r="FC233" i="5" s="1"/>
  <c r="FF233" i="5" s="1"/>
  <c r="FI233" i="5" s="1"/>
  <c r="FL233" i="5" s="1"/>
  <c r="FO233" i="5" s="1"/>
  <c r="EN232" i="5"/>
  <c r="EQ232" i="5" s="1"/>
  <c r="ET232" i="5" s="1"/>
  <c r="EW232" i="5" s="1"/>
  <c r="EZ232" i="5" s="1"/>
  <c r="FC232" i="5" s="1"/>
  <c r="FF232" i="5" s="1"/>
  <c r="FI232" i="5" s="1"/>
  <c r="FL232" i="5" s="1"/>
  <c r="FO232" i="5" s="1"/>
  <c r="EN230" i="5"/>
  <c r="EQ230" i="5" s="1"/>
  <c r="ET230" i="5" s="1"/>
  <c r="EW230" i="5" s="1"/>
  <c r="EZ230" i="5" s="1"/>
  <c r="FC230" i="5" s="1"/>
  <c r="FF230" i="5" s="1"/>
  <c r="FI230" i="5" s="1"/>
  <c r="FL230" i="5" s="1"/>
  <c r="FO230" i="5" s="1"/>
  <c r="EN229" i="5"/>
  <c r="EQ229" i="5" s="1"/>
  <c r="ET229" i="5" s="1"/>
  <c r="EW229" i="5" s="1"/>
  <c r="EZ229" i="5" s="1"/>
  <c r="FC229" i="5" s="1"/>
  <c r="FF229" i="5" s="1"/>
  <c r="FI229" i="5" s="1"/>
  <c r="FL229" i="5" s="1"/>
  <c r="FO229" i="5" s="1"/>
  <c r="EN228" i="5"/>
  <c r="EN241" i="5" s="1"/>
  <c r="EN227" i="5"/>
  <c r="EQ227" i="5" s="1"/>
  <c r="ET227" i="5" s="1"/>
  <c r="EW227" i="5" s="1"/>
  <c r="EZ227" i="5" s="1"/>
  <c r="FC227" i="5" s="1"/>
  <c r="FF227" i="5" s="1"/>
  <c r="FI227" i="5" s="1"/>
  <c r="FL227" i="5" s="1"/>
  <c r="FO227" i="5" s="1"/>
  <c r="EN226" i="5"/>
  <c r="EQ226" i="5" s="1"/>
  <c r="ET226" i="5" s="1"/>
  <c r="EW226" i="5" s="1"/>
  <c r="EZ226" i="5" s="1"/>
  <c r="FC226" i="5" s="1"/>
  <c r="FF226" i="5" s="1"/>
  <c r="FI226" i="5" s="1"/>
  <c r="FL226" i="5" s="1"/>
  <c r="FO226" i="5" s="1"/>
  <c r="EN225" i="5"/>
  <c r="EQ225" i="5" s="1"/>
  <c r="ET225" i="5" s="1"/>
  <c r="EW225" i="5" s="1"/>
  <c r="EZ225" i="5" s="1"/>
  <c r="FC225" i="5" s="1"/>
  <c r="FF225" i="5" s="1"/>
  <c r="FI225" i="5" s="1"/>
  <c r="FL225" i="5" s="1"/>
  <c r="FO225" i="5" s="1"/>
  <c r="EN224" i="5"/>
  <c r="EQ224" i="5" s="1"/>
  <c r="ET224" i="5" s="1"/>
  <c r="EW224" i="5" s="1"/>
  <c r="EZ224" i="5" s="1"/>
  <c r="FC224" i="5" s="1"/>
  <c r="FF224" i="5" s="1"/>
  <c r="FI224" i="5" s="1"/>
  <c r="FL224" i="5" s="1"/>
  <c r="FO224" i="5" s="1"/>
  <c r="EN223" i="5"/>
  <c r="EQ223" i="5" s="1"/>
  <c r="ET223" i="5" s="1"/>
  <c r="EW223" i="5" s="1"/>
  <c r="EZ223" i="5" s="1"/>
  <c r="FC223" i="5" s="1"/>
  <c r="FF223" i="5" s="1"/>
  <c r="FI223" i="5" s="1"/>
  <c r="FL223" i="5" s="1"/>
  <c r="FO223" i="5" s="1"/>
  <c r="EN222" i="5"/>
  <c r="EQ222" i="5" s="1"/>
  <c r="ET222" i="5" s="1"/>
  <c r="EW222" i="5" s="1"/>
  <c r="EZ222" i="5" s="1"/>
  <c r="FC222" i="5" s="1"/>
  <c r="FF222" i="5" s="1"/>
  <c r="FI222" i="5" s="1"/>
  <c r="FL222" i="5" s="1"/>
  <c r="FO222" i="5" s="1"/>
  <c r="EN221" i="5"/>
  <c r="EQ221" i="5" s="1"/>
  <c r="ET221" i="5" s="1"/>
  <c r="EW221" i="5" s="1"/>
  <c r="EZ221" i="5" s="1"/>
  <c r="FC221" i="5" s="1"/>
  <c r="FF221" i="5" s="1"/>
  <c r="FI221" i="5" s="1"/>
  <c r="FL221" i="5" s="1"/>
  <c r="FO221" i="5" s="1"/>
  <c r="EN220" i="5"/>
  <c r="EQ220" i="5" s="1"/>
  <c r="ET220" i="5" s="1"/>
  <c r="EW220" i="5" s="1"/>
  <c r="EZ220" i="5" s="1"/>
  <c r="FC220" i="5" s="1"/>
  <c r="FF220" i="5" s="1"/>
  <c r="FI220" i="5" s="1"/>
  <c r="FL220" i="5" s="1"/>
  <c r="FO220" i="5" s="1"/>
  <c r="EN218" i="5"/>
  <c r="EQ218" i="5" s="1"/>
  <c r="ET218" i="5" s="1"/>
  <c r="EW218" i="5" s="1"/>
  <c r="EZ218" i="5" s="1"/>
  <c r="FC218" i="5" s="1"/>
  <c r="FF218" i="5" s="1"/>
  <c r="FI218" i="5" s="1"/>
  <c r="FL218" i="5" s="1"/>
  <c r="FO218" i="5" s="1"/>
  <c r="EN217" i="5"/>
  <c r="EQ217" i="5" s="1"/>
  <c r="ET217" i="5" s="1"/>
  <c r="EM216" i="5"/>
  <c r="EN215" i="5"/>
  <c r="EN216" i="5" s="1"/>
  <c r="EM214" i="5"/>
  <c r="EN213" i="5"/>
  <c r="EN214" i="5" s="1"/>
  <c r="EM212" i="5"/>
  <c r="EN208" i="5"/>
  <c r="EQ208" i="5" s="1"/>
  <c r="ET208" i="5" s="1"/>
  <c r="EW208" i="5" s="1"/>
  <c r="EZ208" i="5" s="1"/>
  <c r="FC208" i="5" s="1"/>
  <c r="FF208" i="5" s="1"/>
  <c r="FI208" i="5" s="1"/>
  <c r="FL208" i="5" s="1"/>
  <c r="FO208" i="5" s="1"/>
  <c r="EN207" i="5"/>
  <c r="EQ207" i="5" s="1"/>
  <c r="ET207" i="5" s="1"/>
  <c r="EW207" i="5" s="1"/>
  <c r="EZ207" i="5" s="1"/>
  <c r="FC207" i="5" s="1"/>
  <c r="FF207" i="5" s="1"/>
  <c r="FI207" i="5" s="1"/>
  <c r="FL207" i="5" s="1"/>
  <c r="FO207" i="5" s="1"/>
  <c r="EN206" i="5"/>
  <c r="EQ206" i="5" s="1"/>
  <c r="ET206" i="5" s="1"/>
  <c r="EM205" i="5"/>
  <c r="EM204" i="5"/>
  <c r="EM203" i="5"/>
  <c r="EN200" i="5"/>
  <c r="EQ200" i="5" s="1"/>
  <c r="ET200" i="5" s="1"/>
  <c r="EW200" i="5" s="1"/>
  <c r="EZ200" i="5" s="1"/>
  <c r="FC200" i="5" s="1"/>
  <c r="FF200" i="5" s="1"/>
  <c r="FI200" i="5" s="1"/>
  <c r="FL200" i="5" s="1"/>
  <c r="FO200" i="5" s="1"/>
  <c r="EN198" i="5"/>
  <c r="EQ198" i="5" s="1"/>
  <c r="EN197" i="5"/>
  <c r="EQ197" i="5" s="1"/>
  <c r="ET197" i="5" s="1"/>
  <c r="EW197" i="5" s="1"/>
  <c r="EZ197" i="5" s="1"/>
  <c r="FC197" i="5" s="1"/>
  <c r="FF197" i="5" s="1"/>
  <c r="FI197" i="5" s="1"/>
  <c r="FL197" i="5" s="1"/>
  <c r="FO197" i="5" s="1"/>
  <c r="EN195" i="5"/>
  <c r="EQ195" i="5" s="1"/>
  <c r="ET195" i="5" s="1"/>
  <c r="EW195" i="5" s="1"/>
  <c r="EZ195" i="5" s="1"/>
  <c r="FC195" i="5" s="1"/>
  <c r="FF195" i="5" s="1"/>
  <c r="FI195" i="5" s="1"/>
  <c r="FL195" i="5" s="1"/>
  <c r="FO195" i="5" s="1"/>
  <c r="EN194" i="5"/>
  <c r="EN204" i="5" s="1"/>
  <c r="EN193" i="5"/>
  <c r="EQ193" i="5" s="1"/>
  <c r="ET193" i="5" s="1"/>
  <c r="EW193" i="5" s="1"/>
  <c r="EZ193" i="5" s="1"/>
  <c r="FC193" i="5" s="1"/>
  <c r="FF193" i="5" s="1"/>
  <c r="FI193" i="5" s="1"/>
  <c r="FL193" i="5" s="1"/>
  <c r="FO193" i="5" s="1"/>
  <c r="EN192" i="5"/>
  <c r="EQ192" i="5" s="1"/>
  <c r="ET192" i="5" s="1"/>
  <c r="EW192" i="5" s="1"/>
  <c r="EZ192" i="5" s="1"/>
  <c r="FC192" i="5" s="1"/>
  <c r="FF192" i="5" s="1"/>
  <c r="FI192" i="5" s="1"/>
  <c r="FL192" i="5" s="1"/>
  <c r="FO192" i="5" s="1"/>
  <c r="EN191" i="5"/>
  <c r="EQ191" i="5" s="1"/>
  <c r="ET191" i="5" s="1"/>
  <c r="EW191" i="5" s="1"/>
  <c r="EZ191" i="5" s="1"/>
  <c r="FC191" i="5" s="1"/>
  <c r="FF191" i="5" s="1"/>
  <c r="FI191" i="5" s="1"/>
  <c r="FL191" i="5" s="1"/>
  <c r="FO191" i="5" s="1"/>
  <c r="EN190" i="5"/>
  <c r="EQ190" i="5" s="1"/>
  <c r="ET190" i="5" s="1"/>
  <c r="EW190" i="5" s="1"/>
  <c r="EZ190" i="5" s="1"/>
  <c r="FC190" i="5" s="1"/>
  <c r="FF190" i="5" s="1"/>
  <c r="FI190" i="5" s="1"/>
  <c r="FL190" i="5" s="1"/>
  <c r="FO190" i="5" s="1"/>
  <c r="EN189" i="5"/>
  <c r="EQ189" i="5" s="1"/>
  <c r="ET189" i="5" s="1"/>
  <c r="EW189" i="5" s="1"/>
  <c r="EZ189" i="5" s="1"/>
  <c r="FC189" i="5" s="1"/>
  <c r="FF189" i="5" s="1"/>
  <c r="FI189" i="5" s="1"/>
  <c r="FL189" i="5" s="1"/>
  <c r="FO189" i="5" s="1"/>
  <c r="EN188" i="5"/>
  <c r="EQ188" i="5" s="1"/>
  <c r="ET188" i="5" s="1"/>
  <c r="EW188" i="5" s="1"/>
  <c r="EZ188" i="5" s="1"/>
  <c r="FC188" i="5" s="1"/>
  <c r="FF188" i="5" s="1"/>
  <c r="FI188" i="5" s="1"/>
  <c r="FL188" i="5" s="1"/>
  <c r="FO188" i="5" s="1"/>
  <c r="EN187" i="5"/>
  <c r="EQ187" i="5" s="1"/>
  <c r="ET187" i="5" s="1"/>
  <c r="EW187" i="5" s="1"/>
  <c r="EZ187" i="5" s="1"/>
  <c r="FC187" i="5" s="1"/>
  <c r="FF187" i="5" s="1"/>
  <c r="FI187" i="5" s="1"/>
  <c r="FL187" i="5" s="1"/>
  <c r="FO187" i="5" s="1"/>
  <c r="EN186" i="5"/>
  <c r="EQ186" i="5" s="1"/>
  <c r="ET186" i="5" s="1"/>
  <c r="EW186" i="5" s="1"/>
  <c r="EZ186" i="5" s="1"/>
  <c r="FC186" i="5" s="1"/>
  <c r="FF186" i="5" s="1"/>
  <c r="FI186" i="5" s="1"/>
  <c r="FL186" i="5" s="1"/>
  <c r="FO186" i="5" s="1"/>
  <c r="EN185" i="5"/>
  <c r="EQ185" i="5" s="1"/>
  <c r="ET185" i="5" s="1"/>
  <c r="EW185" i="5" s="1"/>
  <c r="EZ185" i="5" s="1"/>
  <c r="FC185" i="5" s="1"/>
  <c r="FF185" i="5" s="1"/>
  <c r="FI185" i="5" s="1"/>
  <c r="FL185" i="5" s="1"/>
  <c r="FO185" i="5" s="1"/>
  <c r="EN182" i="5"/>
  <c r="EQ182" i="5" s="1"/>
  <c r="ET182" i="5" s="1"/>
  <c r="EW182" i="5" s="1"/>
  <c r="EZ182" i="5" s="1"/>
  <c r="FC182" i="5" s="1"/>
  <c r="FF182" i="5" s="1"/>
  <c r="FI182" i="5" s="1"/>
  <c r="FL182" i="5" s="1"/>
  <c r="FO182" i="5" s="1"/>
  <c r="EM180" i="5"/>
  <c r="EM179" i="5"/>
  <c r="EN176" i="5"/>
  <c r="EQ176" i="5" s="1"/>
  <c r="ET176" i="5" s="1"/>
  <c r="EN175" i="5"/>
  <c r="EQ175" i="5" s="1"/>
  <c r="ET175" i="5" s="1"/>
  <c r="EW175" i="5" s="1"/>
  <c r="EZ175" i="5" s="1"/>
  <c r="FC175" i="5" s="1"/>
  <c r="FF175" i="5" s="1"/>
  <c r="FI175" i="5" s="1"/>
  <c r="FL175" i="5" s="1"/>
  <c r="FO175" i="5" s="1"/>
  <c r="EN173" i="5"/>
  <c r="EQ173" i="5" s="1"/>
  <c r="ET173" i="5" s="1"/>
  <c r="EW173" i="5" s="1"/>
  <c r="EZ173" i="5" s="1"/>
  <c r="FC173" i="5" s="1"/>
  <c r="FF173" i="5" s="1"/>
  <c r="FI173" i="5" s="1"/>
  <c r="FL173" i="5" s="1"/>
  <c r="FO173" i="5" s="1"/>
  <c r="EN169" i="5"/>
  <c r="EQ169" i="5" s="1"/>
  <c r="ET169" i="5" s="1"/>
  <c r="EM168" i="5"/>
  <c r="EM167" i="5"/>
  <c r="EN164" i="5"/>
  <c r="EQ164" i="5" s="1"/>
  <c r="ET164" i="5" s="1"/>
  <c r="EW164" i="5" s="1"/>
  <c r="EZ164" i="5" s="1"/>
  <c r="FC164" i="5" s="1"/>
  <c r="FF164" i="5" s="1"/>
  <c r="FI164" i="5" s="1"/>
  <c r="FL164" i="5" s="1"/>
  <c r="FO164" i="5" s="1"/>
  <c r="EN163" i="5"/>
  <c r="EQ163" i="5" s="1"/>
  <c r="ET163" i="5" s="1"/>
  <c r="EW163" i="5" s="1"/>
  <c r="EZ163" i="5" s="1"/>
  <c r="FC163" i="5" s="1"/>
  <c r="FF163" i="5" s="1"/>
  <c r="FI163" i="5" s="1"/>
  <c r="FL163" i="5" s="1"/>
  <c r="FO163" i="5" s="1"/>
  <c r="EN162" i="5"/>
  <c r="EQ162" i="5" s="1"/>
  <c r="ET162" i="5" s="1"/>
  <c r="EN161" i="5"/>
  <c r="EN167" i="5" s="1"/>
  <c r="EM160" i="5"/>
  <c r="EM159" i="5"/>
  <c r="EN158" i="5"/>
  <c r="EN159" i="5" s="1"/>
  <c r="EN157" i="5"/>
  <c r="EN160" i="5" s="1"/>
  <c r="EM156" i="5"/>
  <c r="EM155" i="5"/>
  <c r="EN153" i="5"/>
  <c r="EN156" i="5" s="1"/>
  <c r="EN152" i="5"/>
  <c r="EQ152" i="5" s="1"/>
  <c r="ET152" i="5" s="1"/>
  <c r="EW152" i="5" s="1"/>
  <c r="EZ152" i="5" s="1"/>
  <c r="FC152" i="5" s="1"/>
  <c r="FF152" i="5" s="1"/>
  <c r="FI152" i="5" s="1"/>
  <c r="FL152" i="5" s="1"/>
  <c r="FO152" i="5" s="1"/>
  <c r="EN151" i="5"/>
  <c r="EQ151" i="5" s="1"/>
  <c r="ET151" i="5" s="1"/>
  <c r="EW151" i="5" s="1"/>
  <c r="EZ151" i="5" s="1"/>
  <c r="FC151" i="5" s="1"/>
  <c r="FF151" i="5" s="1"/>
  <c r="FI151" i="5" s="1"/>
  <c r="FL151" i="5" s="1"/>
  <c r="FO151" i="5" s="1"/>
  <c r="EN149" i="5"/>
  <c r="EQ149" i="5" s="1"/>
  <c r="ET149" i="5" s="1"/>
  <c r="EN148" i="5"/>
  <c r="EM148" i="5"/>
  <c r="EM147" i="5"/>
  <c r="EM146" i="5"/>
  <c r="EN143" i="5"/>
  <c r="EN147" i="5" s="1"/>
  <c r="EN142" i="5"/>
  <c r="EQ142" i="5" s="1"/>
  <c r="ET142" i="5" s="1"/>
  <c r="EW142" i="5" s="1"/>
  <c r="EZ142" i="5" s="1"/>
  <c r="FC142" i="5" s="1"/>
  <c r="FF142" i="5" s="1"/>
  <c r="FI142" i="5" s="1"/>
  <c r="FL142" i="5" s="1"/>
  <c r="FO142" i="5" s="1"/>
  <c r="EN140" i="5"/>
  <c r="EQ140" i="5" s="1"/>
  <c r="ET140" i="5" s="1"/>
  <c r="EW140" i="5" s="1"/>
  <c r="EZ140" i="5" s="1"/>
  <c r="FC140" i="5" s="1"/>
  <c r="FF140" i="5" s="1"/>
  <c r="FI140" i="5" s="1"/>
  <c r="FL140" i="5" s="1"/>
  <c r="FO140" i="5" s="1"/>
  <c r="EN138" i="5"/>
  <c r="EQ138" i="5" s="1"/>
  <c r="ET138" i="5" s="1"/>
  <c r="EN137" i="5"/>
  <c r="EM137" i="5"/>
  <c r="EN136" i="5"/>
  <c r="EM136" i="5"/>
  <c r="EM132" i="5"/>
  <c r="EM131" i="5"/>
  <c r="EN128" i="5"/>
  <c r="EQ128" i="5" s="1"/>
  <c r="ET128" i="5" s="1"/>
  <c r="EW128" i="5" s="1"/>
  <c r="EZ128" i="5" s="1"/>
  <c r="FC128" i="5" s="1"/>
  <c r="FF128" i="5" s="1"/>
  <c r="FI128" i="5" s="1"/>
  <c r="FL128" i="5" s="1"/>
  <c r="FO128" i="5" s="1"/>
  <c r="EN127" i="5"/>
  <c r="EQ127" i="5" s="1"/>
  <c r="ET127" i="5" s="1"/>
  <c r="EW127" i="5" s="1"/>
  <c r="EZ127" i="5" s="1"/>
  <c r="FC127" i="5" s="1"/>
  <c r="FF127" i="5" s="1"/>
  <c r="FI127" i="5" s="1"/>
  <c r="FL127" i="5" s="1"/>
  <c r="FO127" i="5" s="1"/>
  <c r="EN126" i="5"/>
  <c r="EQ126" i="5" s="1"/>
  <c r="ET126" i="5" s="1"/>
  <c r="EW126" i="5" s="1"/>
  <c r="EZ126" i="5" s="1"/>
  <c r="FC126" i="5" s="1"/>
  <c r="FF126" i="5" s="1"/>
  <c r="FI126" i="5" s="1"/>
  <c r="FL126" i="5" s="1"/>
  <c r="FO126" i="5" s="1"/>
  <c r="EN125" i="5"/>
  <c r="EN132" i="5" s="1"/>
  <c r="EN124" i="5"/>
  <c r="EQ124" i="5" s="1"/>
  <c r="ET124" i="5" s="1"/>
  <c r="EW124" i="5" s="1"/>
  <c r="EZ124" i="5" s="1"/>
  <c r="FC124" i="5" s="1"/>
  <c r="FF124" i="5" s="1"/>
  <c r="FI124" i="5" s="1"/>
  <c r="FL124" i="5" s="1"/>
  <c r="FO124" i="5" s="1"/>
  <c r="EN123" i="5"/>
  <c r="EQ123" i="5" s="1"/>
  <c r="ET123" i="5" s="1"/>
  <c r="EW123" i="5" s="1"/>
  <c r="EZ123" i="5" s="1"/>
  <c r="FC123" i="5" s="1"/>
  <c r="FF123" i="5" s="1"/>
  <c r="FI123" i="5" s="1"/>
  <c r="FL123" i="5" s="1"/>
  <c r="FO123" i="5" s="1"/>
  <c r="EN122" i="5"/>
  <c r="EQ122" i="5" s="1"/>
  <c r="ET122" i="5" s="1"/>
  <c r="EW122" i="5" s="1"/>
  <c r="EZ122" i="5" s="1"/>
  <c r="FC122" i="5" s="1"/>
  <c r="FF122" i="5" s="1"/>
  <c r="FI122" i="5" s="1"/>
  <c r="FL122" i="5" s="1"/>
  <c r="FO122" i="5" s="1"/>
  <c r="EN121" i="5"/>
  <c r="EQ121" i="5" s="1"/>
  <c r="ET121" i="5" s="1"/>
  <c r="EW121" i="5" s="1"/>
  <c r="EZ121" i="5" s="1"/>
  <c r="FC121" i="5" s="1"/>
  <c r="FF121" i="5" s="1"/>
  <c r="FI121" i="5" s="1"/>
  <c r="FL121" i="5" s="1"/>
  <c r="FO121" i="5" s="1"/>
  <c r="EN120" i="5"/>
  <c r="EQ120" i="5" s="1"/>
  <c r="ET120" i="5" s="1"/>
  <c r="EM119" i="5"/>
  <c r="EM118" i="5"/>
  <c r="EM117" i="5"/>
  <c r="EN115" i="5"/>
  <c r="EQ115" i="5" s="1"/>
  <c r="ET115" i="5" s="1"/>
  <c r="EN113" i="5"/>
  <c r="EN118" i="5" s="1"/>
  <c r="EN112" i="5"/>
  <c r="EQ112" i="5" s="1"/>
  <c r="ET112" i="5" s="1"/>
  <c r="EW112" i="5" s="1"/>
  <c r="EZ112" i="5" s="1"/>
  <c r="FC112" i="5" s="1"/>
  <c r="FF112" i="5" s="1"/>
  <c r="FI112" i="5" s="1"/>
  <c r="FL112" i="5" s="1"/>
  <c r="FO112" i="5" s="1"/>
  <c r="EN111" i="5"/>
  <c r="EQ111" i="5" s="1"/>
  <c r="ET111" i="5" s="1"/>
  <c r="EW111" i="5" s="1"/>
  <c r="EZ111" i="5" s="1"/>
  <c r="FC111" i="5" s="1"/>
  <c r="FF111" i="5" s="1"/>
  <c r="FI111" i="5" s="1"/>
  <c r="FL111" i="5" s="1"/>
  <c r="FO111" i="5" s="1"/>
  <c r="EN110" i="5"/>
  <c r="EQ110" i="5" s="1"/>
  <c r="ET110" i="5" s="1"/>
  <c r="EW110" i="5" s="1"/>
  <c r="EZ110" i="5" s="1"/>
  <c r="FC110" i="5" s="1"/>
  <c r="FF110" i="5" s="1"/>
  <c r="FI110" i="5" s="1"/>
  <c r="FL110" i="5" s="1"/>
  <c r="FO110" i="5" s="1"/>
  <c r="EN109" i="5"/>
  <c r="EQ109" i="5" s="1"/>
  <c r="ET109" i="5" s="1"/>
  <c r="EW109" i="5" s="1"/>
  <c r="EZ109" i="5" s="1"/>
  <c r="FC109" i="5" s="1"/>
  <c r="FF109" i="5" s="1"/>
  <c r="FI109" i="5" s="1"/>
  <c r="FL109" i="5" s="1"/>
  <c r="FO109" i="5" s="1"/>
  <c r="EN108" i="5"/>
  <c r="EQ108" i="5" s="1"/>
  <c r="ET108" i="5" s="1"/>
  <c r="EW108" i="5" s="1"/>
  <c r="EZ108" i="5" s="1"/>
  <c r="FC108" i="5" s="1"/>
  <c r="FF108" i="5" s="1"/>
  <c r="FI108" i="5" s="1"/>
  <c r="FL108" i="5" s="1"/>
  <c r="FO108" i="5" s="1"/>
  <c r="EM103" i="5"/>
  <c r="EN102" i="5"/>
  <c r="EN103" i="5" s="1"/>
  <c r="EM100" i="5"/>
  <c r="EN99" i="5"/>
  <c r="EN100" i="5" s="1"/>
  <c r="EM97" i="5"/>
  <c r="EM96" i="5"/>
  <c r="EN94" i="5"/>
  <c r="EN97" i="5" s="1"/>
  <c r="EN93" i="5"/>
  <c r="EQ93" i="5" s="1"/>
  <c r="ET93" i="5" s="1"/>
  <c r="EW93" i="5" s="1"/>
  <c r="EZ93" i="5" s="1"/>
  <c r="FC93" i="5" s="1"/>
  <c r="FF93" i="5" s="1"/>
  <c r="FI93" i="5" s="1"/>
  <c r="FL93" i="5" s="1"/>
  <c r="FO93" i="5" s="1"/>
  <c r="EN92" i="5"/>
  <c r="EQ92" i="5" s="1"/>
  <c r="ET92" i="5" s="1"/>
  <c r="EW92" i="5" s="1"/>
  <c r="EZ92" i="5" s="1"/>
  <c r="FC92" i="5" s="1"/>
  <c r="FF92" i="5" s="1"/>
  <c r="FI92" i="5" s="1"/>
  <c r="FL92" i="5" s="1"/>
  <c r="FO92" i="5" s="1"/>
  <c r="EN91" i="5"/>
  <c r="EQ91" i="5" s="1"/>
  <c r="ET91" i="5" s="1"/>
  <c r="EW91" i="5" s="1"/>
  <c r="EZ91" i="5" s="1"/>
  <c r="FC91" i="5" s="1"/>
  <c r="FF91" i="5" s="1"/>
  <c r="FI91" i="5" s="1"/>
  <c r="FL91" i="5" s="1"/>
  <c r="FO91" i="5" s="1"/>
  <c r="EN90" i="5"/>
  <c r="EQ90" i="5" s="1"/>
  <c r="ET90" i="5" s="1"/>
  <c r="EW90" i="5" s="1"/>
  <c r="EZ90" i="5" s="1"/>
  <c r="FC90" i="5" s="1"/>
  <c r="FF90" i="5" s="1"/>
  <c r="FI90" i="5" s="1"/>
  <c r="FL90" i="5" s="1"/>
  <c r="FO90" i="5" s="1"/>
  <c r="EN89" i="5"/>
  <c r="EQ89" i="5" s="1"/>
  <c r="ET89" i="5" s="1"/>
  <c r="EW89" i="5" s="1"/>
  <c r="EZ89" i="5" s="1"/>
  <c r="FC89" i="5" s="1"/>
  <c r="FF89" i="5" s="1"/>
  <c r="FI89" i="5" s="1"/>
  <c r="FL89" i="5" s="1"/>
  <c r="FO89" i="5" s="1"/>
  <c r="EN88" i="5"/>
  <c r="EQ88" i="5" s="1"/>
  <c r="ET88" i="5" s="1"/>
  <c r="EW88" i="5" s="1"/>
  <c r="EZ88" i="5" s="1"/>
  <c r="FC88" i="5" s="1"/>
  <c r="FF88" i="5" s="1"/>
  <c r="FI88" i="5" s="1"/>
  <c r="FL88" i="5" s="1"/>
  <c r="FO88" i="5" s="1"/>
  <c r="EN87" i="5"/>
  <c r="EQ87" i="5" s="1"/>
  <c r="ET87" i="5" s="1"/>
  <c r="EN85" i="5"/>
  <c r="EM85" i="5"/>
  <c r="EM84" i="5"/>
  <c r="EN80" i="5"/>
  <c r="EQ80" i="5" s="1"/>
  <c r="ET80" i="5" s="1"/>
  <c r="EW80" i="5" s="1"/>
  <c r="EZ80" i="5" s="1"/>
  <c r="FC80" i="5" s="1"/>
  <c r="FF80" i="5" s="1"/>
  <c r="FI80" i="5" s="1"/>
  <c r="FL80" i="5" s="1"/>
  <c r="FO80" i="5" s="1"/>
  <c r="EN79" i="5"/>
  <c r="EQ79" i="5" s="1"/>
  <c r="ET79" i="5" s="1"/>
  <c r="EW79" i="5" s="1"/>
  <c r="EZ79" i="5" s="1"/>
  <c r="FC79" i="5" s="1"/>
  <c r="FF79" i="5" s="1"/>
  <c r="FI79" i="5" s="1"/>
  <c r="FL79" i="5" s="1"/>
  <c r="FO79" i="5" s="1"/>
  <c r="EN78" i="5"/>
  <c r="EQ78" i="5" s="1"/>
  <c r="ET78" i="5" s="1"/>
  <c r="EW78" i="5" s="1"/>
  <c r="EZ78" i="5" s="1"/>
  <c r="FC78" i="5" s="1"/>
  <c r="FF78" i="5" s="1"/>
  <c r="FI78" i="5" s="1"/>
  <c r="FL78" i="5" s="1"/>
  <c r="FO78" i="5" s="1"/>
  <c r="EN77" i="5"/>
  <c r="EQ77" i="5" s="1"/>
  <c r="ET77" i="5" s="1"/>
  <c r="EW77" i="5" s="1"/>
  <c r="EZ77" i="5" s="1"/>
  <c r="FC77" i="5" s="1"/>
  <c r="FF77" i="5" s="1"/>
  <c r="FI77" i="5" s="1"/>
  <c r="FL77" i="5" s="1"/>
  <c r="FO77" i="5" s="1"/>
  <c r="EN76" i="5"/>
  <c r="EQ76" i="5" s="1"/>
  <c r="ET76" i="5" s="1"/>
  <c r="EW76" i="5" s="1"/>
  <c r="EZ76" i="5" s="1"/>
  <c r="FC76" i="5" s="1"/>
  <c r="FF76" i="5" s="1"/>
  <c r="FI76" i="5" s="1"/>
  <c r="FL76" i="5" s="1"/>
  <c r="FO76" i="5" s="1"/>
  <c r="EN75" i="5"/>
  <c r="EQ75" i="5" s="1"/>
  <c r="ET75" i="5" s="1"/>
  <c r="EW75" i="5" s="1"/>
  <c r="EZ75" i="5" s="1"/>
  <c r="FC75" i="5" s="1"/>
  <c r="FF75" i="5" s="1"/>
  <c r="FI75" i="5" s="1"/>
  <c r="FL75" i="5" s="1"/>
  <c r="FO75" i="5" s="1"/>
  <c r="EN72" i="5"/>
  <c r="EQ72" i="5" s="1"/>
  <c r="ET72" i="5" s="1"/>
  <c r="EN67" i="5"/>
  <c r="EQ67" i="5" s="1"/>
  <c r="ET67" i="5" s="1"/>
  <c r="EW67" i="5" s="1"/>
  <c r="EZ67" i="5" s="1"/>
  <c r="FC67" i="5" s="1"/>
  <c r="FF67" i="5" s="1"/>
  <c r="FI67" i="5" s="1"/>
  <c r="FL67" i="5" s="1"/>
  <c r="FO67" i="5" s="1"/>
  <c r="EN48" i="5"/>
  <c r="EQ48" i="5" s="1"/>
  <c r="ET48" i="5" s="1"/>
  <c r="EM43" i="5"/>
  <c r="EN40" i="5"/>
  <c r="EN43" i="5" s="1"/>
  <c r="EM37" i="5"/>
  <c r="EN34" i="5"/>
  <c r="EQ34" i="5" s="1"/>
  <c r="ET34" i="5" s="1"/>
  <c r="EW34" i="5" s="1"/>
  <c r="EZ34" i="5" s="1"/>
  <c r="FC34" i="5" s="1"/>
  <c r="FF34" i="5" s="1"/>
  <c r="FI34" i="5" s="1"/>
  <c r="FL34" i="5" s="1"/>
  <c r="FO34" i="5" s="1"/>
  <c r="EN33" i="5"/>
  <c r="EQ33" i="5" s="1"/>
  <c r="ET33" i="5" s="1"/>
  <c r="EW33" i="5" s="1"/>
  <c r="EZ33" i="5" s="1"/>
  <c r="FC33" i="5" s="1"/>
  <c r="FF33" i="5" s="1"/>
  <c r="FI33" i="5" s="1"/>
  <c r="FL33" i="5" s="1"/>
  <c r="FO33" i="5" s="1"/>
  <c r="EN32" i="5"/>
  <c r="EQ32" i="5" s="1"/>
  <c r="ET32" i="5" s="1"/>
  <c r="EM31" i="5"/>
  <c r="EN26" i="5"/>
  <c r="EN31" i="5" s="1"/>
  <c r="EM25" i="5"/>
  <c r="EM24" i="5"/>
  <c r="EM23" i="5"/>
  <c r="EN20" i="5"/>
  <c r="EQ20" i="5" s="1"/>
  <c r="ET20" i="5" s="1"/>
  <c r="EW20" i="5" s="1"/>
  <c r="EZ20" i="5" s="1"/>
  <c r="FC20" i="5" s="1"/>
  <c r="FF20" i="5" s="1"/>
  <c r="FI20" i="5" s="1"/>
  <c r="FL20" i="5" s="1"/>
  <c r="FO20" i="5" s="1"/>
  <c r="EN18" i="5"/>
  <c r="EQ18" i="5" s="1"/>
  <c r="ET18" i="5" s="1"/>
  <c r="EW18" i="5" s="1"/>
  <c r="EZ18" i="5" s="1"/>
  <c r="FC18" i="5" s="1"/>
  <c r="FF18" i="5" s="1"/>
  <c r="FI18" i="5" s="1"/>
  <c r="FL18" i="5" s="1"/>
  <c r="FO18" i="5" s="1"/>
  <c r="EN14" i="5"/>
  <c r="EQ14" i="5" s="1"/>
  <c r="ET14" i="5" s="1"/>
  <c r="EN13" i="5"/>
  <c r="EN24" i="5" s="1"/>
  <c r="EN12" i="5"/>
  <c r="EQ12" i="5" s="1"/>
  <c r="ET12" i="5" s="1"/>
  <c r="EW12" i="5" s="1"/>
  <c r="EZ12" i="5" s="1"/>
  <c r="FC12" i="5" s="1"/>
  <c r="EN11" i="5"/>
  <c r="EQ11" i="5" s="1"/>
  <c r="ET11" i="5" s="1"/>
  <c r="EW11" i="5" s="1"/>
  <c r="EZ11" i="5" s="1"/>
  <c r="FC11" i="5" s="1"/>
  <c r="FF11" i="5" s="1"/>
  <c r="FI11" i="5" s="1"/>
  <c r="FL11" i="5" s="1"/>
  <c r="FO11" i="5" s="1"/>
  <c r="EM8" i="5"/>
  <c r="EN5" i="5"/>
  <c r="EN8" i="5" s="1"/>
  <c r="F16" i="57"/>
  <c r="E16" i="57"/>
  <c r="D15" i="57"/>
  <c r="D16" i="57" s="1"/>
  <c r="C15" i="57"/>
  <c r="C16" i="57" s="1"/>
  <c r="D14" i="57"/>
  <c r="F13" i="57"/>
  <c r="E13" i="57"/>
  <c r="F10" i="57"/>
  <c r="E10" i="57"/>
  <c r="F25" i="56"/>
  <c r="E25" i="56"/>
  <c r="D25" i="56"/>
  <c r="C25" i="56"/>
  <c r="D14" i="56"/>
  <c r="EK62" i="5"/>
  <c r="EN62" i="5" s="1"/>
  <c r="EN71" i="5" s="1"/>
  <c r="L14" i="69" l="1"/>
  <c r="L16" i="69" s="1"/>
  <c r="HA347" i="5"/>
  <c r="GU336" i="5"/>
  <c r="GX333" i="5"/>
  <c r="GU347" i="5"/>
  <c r="I29" i="66"/>
  <c r="L12" i="67"/>
  <c r="L14" i="67" s="1"/>
  <c r="L29" i="67" s="1"/>
  <c r="L12" i="68"/>
  <c r="L14" i="68" s="1"/>
  <c r="L29" i="68" s="1"/>
  <c r="GI355" i="5"/>
  <c r="GI1" i="5" s="1"/>
  <c r="GR86" i="5"/>
  <c r="GO96" i="5"/>
  <c r="GO350" i="5" s="1"/>
  <c r="GR163" i="5"/>
  <c r="GO168" i="5"/>
  <c r="GO353" i="5" s="1"/>
  <c r="I29" i="67"/>
  <c r="I16" i="67"/>
  <c r="I29" i="68"/>
  <c r="I16" i="68"/>
  <c r="C6" i="68"/>
  <c r="C6" i="67"/>
  <c r="GR336" i="5"/>
  <c r="C7" i="68"/>
  <c r="C7" i="67"/>
  <c r="C6" i="66"/>
  <c r="C7" i="66"/>
  <c r="EQ294" i="5"/>
  <c r="F7" i="56"/>
  <c r="F6" i="56"/>
  <c r="EF27" i="4"/>
  <c r="EF35" i="4" s="1"/>
  <c r="E17" i="57"/>
  <c r="F17" i="57"/>
  <c r="FF12" i="5"/>
  <c r="FI12" i="5" s="1"/>
  <c r="FL12" i="5" s="1"/>
  <c r="FO12" i="5" s="1"/>
  <c r="FI258" i="5"/>
  <c r="FL258" i="5" s="1"/>
  <c r="FO258" i="5" s="1"/>
  <c r="FF278" i="5"/>
  <c r="FF279" i="5"/>
  <c r="FI279" i="5" s="1"/>
  <c r="FL279" i="5" s="1"/>
  <c r="FO279" i="5" s="1"/>
  <c r="N14" i="61"/>
  <c r="N27" i="61" s="1"/>
  <c r="N14" i="60"/>
  <c r="N16" i="60" s="1"/>
  <c r="H5" i="60"/>
  <c r="H5" i="61"/>
  <c r="EG24" i="4"/>
  <c r="ED35" i="4"/>
  <c r="K5" i="60"/>
  <c r="K5" i="61"/>
  <c r="EA116" i="4"/>
  <c r="DX122" i="4"/>
  <c r="F7" i="59"/>
  <c r="F7" i="61"/>
  <c r="F7" i="60"/>
  <c r="H6" i="59"/>
  <c r="H6" i="60"/>
  <c r="H6" i="61"/>
  <c r="F6" i="59"/>
  <c r="F6" i="60"/>
  <c r="F6" i="61"/>
  <c r="K7" i="59"/>
  <c r="K7" i="60"/>
  <c r="K7" i="61"/>
  <c r="H7" i="58"/>
  <c r="H7" i="60"/>
  <c r="H7" i="61"/>
  <c r="ED99" i="4"/>
  <c r="EG78" i="4"/>
  <c r="EG99" i="4" s="1"/>
  <c r="D7" i="69" s="1"/>
  <c r="H8" i="59"/>
  <c r="H8" i="61"/>
  <c r="H8" i="60"/>
  <c r="FF10" i="5"/>
  <c r="FI9" i="5"/>
  <c r="ET180" i="5"/>
  <c r="EW176" i="5"/>
  <c r="EW206" i="5"/>
  <c r="ET212" i="5"/>
  <c r="ET242" i="5"/>
  <c r="EW237" i="5"/>
  <c r="EW115" i="5"/>
  <c r="ET25" i="5"/>
  <c r="EW14" i="5"/>
  <c r="ET70" i="5"/>
  <c r="EW48" i="5"/>
  <c r="EW162" i="5"/>
  <c r="ET168" i="5"/>
  <c r="EW332" i="5"/>
  <c r="ET336" i="5"/>
  <c r="EW280" i="5"/>
  <c r="EZ280" i="5" s="1"/>
  <c r="FC280" i="5" s="1"/>
  <c r="FF280" i="5" s="1"/>
  <c r="FI280" i="5" s="1"/>
  <c r="FL280" i="5" s="1"/>
  <c r="FO280" i="5" s="1"/>
  <c r="ET347" i="5"/>
  <c r="EW337" i="5"/>
  <c r="EW87" i="5"/>
  <c r="EZ87" i="5" s="1"/>
  <c r="FC87" i="5" s="1"/>
  <c r="FF87" i="5" s="1"/>
  <c r="FI87" i="5" s="1"/>
  <c r="FL87" i="5" s="1"/>
  <c r="FO87" i="5" s="1"/>
  <c r="EW149" i="5"/>
  <c r="EZ149" i="5" s="1"/>
  <c r="FC149" i="5" s="1"/>
  <c r="FF149" i="5" s="1"/>
  <c r="FI149" i="5" s="1"/>
  <c r="FL149" i="5" s="1"/>
  <c r="FO149" i="5" s="1"/>
  <c r="ET247" i="5"/>
  <c r="EW243" i="5"/>
  <c r="EW72" i="5"/>
  <c r="ET84" i="5"/>
  <c r="EW120" i="5"/>
  <c r="EZ120" i="5" s="1"/>
  <c r="FC120" i="5" s="1"/>
  <c r="EW104" i="5"/>
  <c r="EZ104" i="5" s="1"/>
  <c r="FC104" i="5" s="1"/>
  <c r="EQ205" i="5"/>
  <c r="ET198" i="5"/>
  <c r="EW217" i="5"/>
  <c r="EZ217" i="5" s="1"/>
  <c r="FC217" i="5" s="1"/>
  <c r="EW138" i="5"/>
  <c r="EZ138" i="5" s="1"/>
  <c r="FC138" i="5" s="1"/>
  <c r="ET179" i="5"/>
  <c r="EW169" i="5"/>
  <c r="ET278" i="5"/>
  <c r="EW248" i="5"/>
  <c r="ET37" i="5"/>
  <c r="EW32" i="5"/>
  <c r="F6" i="58"/>
  <c r="F7" i="58"/>
  <c r="EA99" i="4"/>
  <c r="EQ70" i="5"/>
  <c r="H7" i="59"/>
  <c r="DX126" i="4"/>
  <c r="DW124" i="4"/>
  <c r="DW1" i="4" s="1"/>
  <c r="H6" i="58"/>
  <c r="H5" i="59"/>
  <c r="EA35" i="4"/>
  <c r="EA5" i="4"/>
  <c r="H8" i="58"/>
  <c r="DX99" i="4"/>
  <c r="H5" i="58"/>
  <c r="DZ124" i="4"/>
  <c r="DZ1" i="4" s="1"/>
  <c r="K5" i="59"/>
  <c r="EQ179" i="5"/>
  <c r="EQ278" i="5"/>
  <c r="EQ37" i="5"/>
  <c r="EQ113" i="5"/>
  <c r="EQ168" i="5"/>
  <c r="EQ84" i="5"/>
  <c r="EQ180" i="5"/>
  <c r="EQ212" i="5"/>
  <c r="EQ242" i="5"/>
  <c r="EQ25" i="5"/>
  <c r="EQ347" i="5"/>
  <c r="EQ247" i="5"/>
  <c r="EQ153" i="5"/>
  <c r="EQ194" i="5"/>
  <c r="EQ213" i="5"/>
  <c r="EQ300" i="5"/>
  <c r="EP353" i="5"/>
  <c r="K13" i="61" s="1"/>
  <c r="EQ13" i="5"/>
  <c r="EQ23" i="5" s="1"/>
  <c r="EQ125" i="5"/>
  <c r="EQ215" i="5"/>
  <c r="EQ314" i="5"/>
  <c r="EQ228" i="5"/>
  <c r="EP350" i="5"/>
  <c r="K12" i="61" s="1"/>
  <c r="EQ336" i="5"/>
  <c r="EQ40" i="5"/>
  <c r="EQ143" i="5"/>
  <c r="EQ157" i="5"/>
  <c r="EQ102" i="5"/>
  <c r="EQ158" i="5"/>
  <c r="EQ317" i="5"/>
  <c r="EQ94" i="5"/>
  <c r="EP351" i="5"/>
  <c r="EQ62" i="5"/>
  <c r="EQ321" i="5"/>
  <c r="EQ5" i="5"/>
  <c r="EQ26" i="5"/>
  <c r="EQ161" i="5"/>
  <c r="EN70" i="5"/>
  <c r="EQ99" i="5"/>
  <c r="EQ325" i="5"/>
  <c r="DX35" i="4"/>
  <c r="EN336" i="5"/>
  <c r="EN117" i="5"/>
  <c r="EM350" i="5"/>
  <c r="EN278" i="5"/>
  <c r="EN347" i="5"/>
  <c r="EN168" i="5"/>
  <c r="EN351" i="5"/>
  <c r="EM351" i="5"/>
  <c r="EN205" i="5"/>
  <c r="EM353" i="5"/>
  <c r="EN146" i="5"/>
  <c r="EN25" i="5"/>
  <c r="EN179" i="5"/>
  <c r="EN180" i="5"/>
  <c r="EN212" i="5"/>
  <c r="EN242" i="5"/>
  <c r="EN84" i="5"/>
  <c r="EN155" i="5"/>
  <c r="EN37" i="5"/>
  <c r="EN23" i="5"/>
  <c r="EN247" i="5"/>
  <c r="EN311" i="5"/>
  <c r="EN240" i="5"/>
  <c r="EN131" i="5"/>
  <c r="DA357" i="5"/>
  <c r="DE357" i="5"/>
  <c r="DH357" i="5"/>
  <c r="DK357" i="5"/>
  <c r="DN357" i="5"/>
  <c r="DQ357" i="5"/>
  <c r="DT357" i="5"/>
  <c r="DW357" i="5"/>
  <c r="DZ357" i="5"/>
  <c r="EC357" i="5"/>
  <c r="EI357" i="5"/>
  <c r="D14" i="55"/>
  <c r="L29" i="69" l="1"/>
  <c r="GX336" i="5"/>
  <c r="HA333" i="5"/>
  <c r="GX347" i="5"/>
  <c r="GR168" i="5"/>
  <c r="GR353" i="5" s="1"/>
  <c r="GU163" i="5"/>
  <c r="GR96" i="5"/>
  <c r="GU86" i="5"/>
  <c r="GX86" i="5" s="1"/>
  <c r="L16" i="68"/>
  <c r="GO355" i="5"/>
  <c r="GO1" i="5" s="1"/>
  <c r="L16" i="67"/>
  <c r="GR350" i="5"/>
  <c r="GR357" i="5"/>
  <c r="D7" i="66"/>
  <c r="D7" i="67"/>
  <c r="D7" i="68"/>
  <c r="ET294" i="5"/>
  <c r="R7" i="61"/>
  <c r="G7" i="63"/>
  <c r="Q8" i="61"/>
  <c r="Q9" i="61" s="1"/>
  <c r="EF124" i="4"/>
  <c r="EF1" i="4" s="1"/>
  <c r="EG27" i="4"/>
  <c r="EG35" i="4" s="1"/>
  <c r="D8" i="69" s="1"/>
  <c r="FF138" i="5"/>
  <c r="FI138" i="5" s="1"/>
  <c r="FL138" i="5" s="1"/>
  <c r="FO138" i="5" s="1"/>
  <c r="FF217" i="5"/>
  <c r="FI217" i="5" s="1"/>
  <c r="FL217" i="5" s="1"/>
  <c r="FO217" i="5" s="1"/>
  <c r="FF104" i="5"/>
  <c r="FI104" i="5" s="1"/>
  <c r="FL104" i="5" s="1"/>
  <c r="FO104" i="5" s="1"/>
  <c r="FF120" i="5"/>
  <c r="FI120" i="5" s="1"/>
  <c r="FL120" i="5" s="1"/>
  <c r="FO120" i="5" s="1"/>
  <c r="N16" i="61"/>
  <c r="N27" i="60"/>
  <c r="FI10" i="5"/>
  <c r="FL9" i="5"/>
  <c r="K14" i="61"/>
  <c r="I6" i="60"/>
  <c r="I6" i="61"/>
  <c r="ED116" i="4"/>
  <c r="EA122" i="4"/>
  <c r="K9" i="61"/>
  <c r="EA126" i="4"/>
  <c r="ED5" i="4"/>
  <c r="K9" i="60"/>
  <c r="K9" i="59"/>
  <c r="O8" i="60"/>
  <c r="O8" i="61"/>
  <c r="L8" i="59"/>
  <c r="L8" i="60"/>
  <c r="L8" i="61"/>
  <c r="I8" i="61"/>
  <c r="I8" i="60"/>
  <c r="L7" i="59"/>
  <c r="L7" i="60"/>
  <c r="L7" i="61"/>
  <c r="H9" i="61"/>
  <c r="I7" i="60"/>
  <c r="I7" i="61"/>
  <c r="O7" i="61"/>
  <c r="O7" i="60"/>
  <c r="H9" i="60"/>
  <c r="H12" i="60"/>
  <c r="H12" i="61"/>
  <c r="H13" i="60"/>
  <c r="H13" i="61"/>
  <c r="K13" i="59"/>
  <c r="K13" i="60"/>
  <c r="K12" i="59"/>
  <c r="K12" i="60"/>
  <c r="EW242" i="5"/>
  <c r="EZ237" i="5"/>
  <c r="EW336" i="5"/>
  <c r="EZ332" i="5"/>
  <c r="EW37" i="5"/>
  <c r="EZ32" i="5"/>
  <c r="EW168" i="5"/>
  <c r="EZ162" i="5"/>
  <c r="EW212" i="5"/>
  <c r="EZ206" i="5"/>
  <c r="EW84" i="5"/>
  <c r="EZ72" i="5"/>
  <c r="EW70" i="5"/>
  <c r="EZ48" i="5"/>
  <c r="EW180" i="5"/>
  <c r="EZ176" i="5"/>
  <c r="EW278" i="5"/>
  <c r="EZ248" i="5"/>
  <c r="EW247" i="5"/>
  <c r="EZ243" i="5"/>
  <c r="EZ115" i="5"/>
  <c r="FC115" i="5" s="1"/>
  <c r="FF115" i="5" s="1"/>
  <c r="FI115" i="5" s="1"/>
  <c r="EW25" i="5"/>
  <c r="EZ14" i="5"/>
  <c r="EW347" i="5"/>
  <c r="EZ337" i="5"/>
  <c r="EW179" i="5"/>
  <c r="EZ169" i="5"/>
  <c r="EQ8" i="5"/>
  <c r="ET5" i="5"/>
  <c r="EQ31" i="5"/>
  <c r="ET26" i="5"/>
  <c r="EQ204" i="5"/>
  <c r="ET194" i="5"/>
  <c r="EQ324" i="5"/>
  <c r="ET321" i="5"/>
  <c r="EQ71" i="5"/>
  <c r="ET62" i="5"/>
  <c r="EQ241" i="5"/>
  <c r="ET228" i="5"/>
  <c r="EQ147" i="5"/>
  <c r="ET143" i="5"/>
  <c r="EQ43" i="5"/>
  <c r="ET40" i="5"/>
  <c r="EQ316" i="5"/>
  <c r="ET314" i="5"/>
  <c r="EQ97" i="5"/>
  <c r="ET94" i="5"/>
  <c r="EQ216" i="5"/>
  <c r="ET215" i="5"/>
  <c r="ET205" i="5"/>
  <c r="EW198" i="5"/>
  <c r="EQ156" i="5"/>
  <c r="ET153" i="5"/>
  <c r="EQ132" i="5"/>
  <c r="ET125" i="5"/>
  <c r="EQ167" i="5"/>
  <c r="ET161" i="5"/>
  <c r="EQ320" i="5"/>
  <c r="ET317" i="5"/>
  <c r="EQ24" i="5"/>
  <c r="ET13" i="5"/>
  <c r="EQ331" i="5"/>
  <c r="ET325" i="5"/>
  <c r="EQ100" i="5"/>
  <c r="ET99" i="5"/>
  <c r="EQ103" i="5"/>
  <c r="ET102" i="5"/>
  <c r="EQ312" i="5"/>
  <c r="ET300" i="5"/>
  <c r="EQ159" i="5"/>
  <c r="ET158" i="5"/>
  <c r="EQ160" i="5"/>
  <c r="ET157" i="5"/>
  <c r="EQ214" i="5"/>
  <c r="ET213" i="5"/>
  <c r="EQ118" i="5"/>
  <c r="ET113" i="5"/>
  <c r="EQ117" i="5"/>
  <c r="H9" i="59"/>
  <c r="H13" i="58"/>
  <c r="H13" i="59"/>
  <c r="H12" i="58"/>
  <c r="H12" i="59"/>
  <c r="H9" i="58"/>
  <c r="I6" i="58"/>
  <c r="I6" i="59"/>
  <c r="I7" i="58"/>
  <c r="I7" i="59"/>
  <c r="I8" i="58"/>
  <c r="I8" i="59"/>
  <c r="DY35" i="4"/>
  <c r="EQ146" i="5"/>
  <c r="EQ311" i="5"/>
  <c r="EP355" i="5"/>
  <c r="EP1" i="5" s="1"/>
  <c r="EQ131" i="5"/>
  <c r="EQ240" i="5"/>
  <c r="EQ155" i="5"/>
  <c r="EM355" i="5"/>
  <c r="EM1" i="5" s="1"/>
  <c r="EI241" i="5"/>
  <c r="EI240" i="5"/>
  <c r="EK242" i="5"/>
  <c r="EI242" i="5"/>
  <c r="EK214" i="5"/>
  <c r="EK212" i="5"/>
  <c r="EI212" i="5"/>
  <c r="EF184" i="5"/>
  <c r="EK205" i="5"/>
  <c r="EK204" i="5"/>
  <c r="EI205" i="5"/>
  <c r="EI204" i="5"/>
  <c r="EI203" i="5"/>
  <c r="EF181" i="5"/>
  <c r="EI119" i="5"/>
  <c r="EK118" i="5"/>
  <c r="EK117" i="5"/>
  <c r="EI117" i="5"/>
  <c r="EI84" i="5"/>
  <c r="EI96" i="5"/>
  <c r="EI71" i="5"/>
  <c r="EK71" i="5"/>
  <c r="EK70" i="5"/>
  <c r="EI70" i="5"/>
  <c r="DS122" i="4"/>
  <c r="EK114" i="5"/>
  <c r="EN114" i="5" s="1"/>
  <c r="O12" i="68" l="1"/>
  <c r="O12" i="69"/>
  <c r="O13" i="68"/>
  <c r="O13" i="69"/>
  <c r="HA336" i="5"/>
  <c r="GX96" i="5"/>
  <c r="GX350" i="5" s="1"/>
  <c r="HA86" i="5"/>
  <c r="GU168" i="5"/>
  <c r="GU353" i="5" s="1"/>
  <c r="GX163" i="5"/>
  <c r="GX357" i="5"/>
  <c r="GU96" i="5"/>
  <c r="GU350" i="5" s="1"/>
  <c r="GU355" i="5" s="1"/>
  <c r="GU1" i="5" s="1"/>
  <c r="GU357" i="5"/>
  <c r="GR355" i="5"/>
  <c r="GR1" i="5" s="1"/>
  <c r="D8" i="66"/>
  <c r="D8" i="68"/>
  <c r="D8" i="67"/>
  <c r="EW294" i="5"/>
  <c r="R8" i="61"/>
  <c r="Q16" i="61"/>
  <c r="Q27" i="61"/>
  <c r="FL10" i="5"/>
  <c r="FO9" i="5"/>
  <c r="FO10" i="5" s="1"/>
  <c r="FL115" i="5"/>
  <c r="FO115" i="5" s="1"/>
  <c r="K27" i="61"/>
  <c r="H14" i="60"/>
  <c r="H27" i="60" s="1"/>
  <c r="H14" i="61"/>
  <c r="H16" i="61" s="1"/>
  <c r="ED126" i="4"/>
  <c r="EG5" i="4"/>
  <c r="L6" i="59"/>
  <c r="L6" i="61"/>
  <c r="L6" i="60"/>
  <c r="K16" i="61"/>
  <c r="EG116" i="4"/>
  <c r="ED122" i="4"/>
  <c r="E6" i="60"/>
  <c r="E6" i="61"/>
  <c r="K14" i="59"/>
  <c r="K16" i="59" s="1"/>
  <c r="K14" i="60"/>
  <c r="EZ179" i="5"/>
  <c r="FC169" i="5"/>
  <c r="FC179" i="5" s="1"/>
  <c r="EZ180" i="5"/>
  <c r="FC176" i="5"/>
  <c r="EZ336" i="5"/>
  <c r="FC332" i="5"/>
  <c r="EZ347" i="5"/>
  <c r="FC337" i="5"/>
  <c r="EZ84" i="5"/>
  <c r="FC72" i="5"/>
  <c r="FC84" i="5" s="1"/>
  <c r="EZ242" i="5"/>
  <c r="FC237" i="5"/>
  <c r="EZ25" i="5"/>
  <c r="FC14" i="5"/>
  <c r="EZ70" i="5"/>
  <c r="FC48" i="5"/>
  <c r="FC70" i="5" s="1"/>
  <c r="EZ212" i="5"/>
  <c r="FC206" i="5"/>
  <c r="FC212" i="5" s="1"/>
  <c r="EZ247" i="5"/>
  <c r="FC243" i="5"/>
  <c r="FC247" i="5" s="1"/>
  <c r="EZ168" i="5"/>
  <c r="FC162" i="5"/>
  <c r="EZ278" i="5"/>
  <c r="FC248" i="5"/>
  <c r="FC278" i="5" s="1"/>
  <c r="EZ37" i="5"/>
  <c r="FC32" i="5"/>
  <c r="EW205" i="5"/>
  <c r="EZ198" i="5"/>
  <c r="EQ114" i="5"/>
  <c r="EN119" i="5"/>
  <c r="EN353" i="5" s="1"/>
  <c r="I13" i="58" s="1"/>
  <c r="EK119" i="5"/>
  <c r="H14" i="59"/>
  <c r="H16" i="59" s="1"/>
  <c r="EQ351" i="5"/>
  <c r="EW102" i="5"/>
  <c r="ET103" i="5"/>
  <c r="ET132" i="5"/>
  <c r="EW125" i="5"/>
  <c r="EZ125" i="5" s="1"/>
  <c r="FC125" i="5" s="1"/>
  <c r="ET131" i="5"/>
  <c r="ET316" i="5"/>
  <c r="EW314" i="5"/>
  <c r="ET118" i="5"/>
  <c r="EW113" i="5"/>
  <c r="EZ113" i="5" s="1"/>
  <c r="FC113" i="5" s="1"/>
  <c r="ET117" i="5"/>
  <c r="ET324" i="5"/>
  <c r="EW321" i="5"/>
  <c r="EZ321" i="5" s="1"/>
  <c r="FC321" i="5" s="1"/>
  <c r="FF321" i="5" s="1"/>
  <c r="FI321" i="5" s="1"/>
  <c r="FL321" i="5" s="1"/>
  <c r="FO321" i="5" s="1"/>
  <c r="ET214" i="5"/>
  <c r="EW213" i="5"/>
  <c r="EW99" i="5"/>
  <c r="ET100" i="5"/>
  <c r="EW194" i="5"/>
  <c r="EZ194" i="5" s="1"/>
  <c r="ET204" i="5"/>
  <c r="ET156" i="5"/>
  <c r="EW153" i="5"/>
  <c r="EZ153" i="5" s="1"/>
  <c r="FC153" i="5" s="1"/>
  <c r="FF153" i="5" s="1"/>
  <c r="FI153" i="5" s="1"/>
  <c r="FL153" i="5" s="1"/>
  <c r="FO153" i="5" s="1"/>
  <c r="ET155" i="5"/>
  <c r="EW40" i="5"/>
  <c r="ET43" i="5"/>
  <c r="ET160" i="5"/>
  <c r="EW157" i="5"/>
  <c r="H14" i="58"/>
  <c r="H27" i="58" s="1"/>
  <c r="EW325" i="5"/>
  <c r="ET331" i="5"/>
  <c r="ET147" i="5"/>
  <c r="EW143" i="5"/>
  <c r="EZ143" i="5" s="1"/>
  <c r="FC143" i="5" s="1"/>
  <c r="ET146" i="5"/>
  <c r="ET31" i="5"/>
  <c r="EW26" i="5"/>
  <c r="ET159" i="5"/>
  <c r="EW158" i="5"/>
  <c r="ET23" i="5"/>
  <c r="ET24" i="5"/>
  <c r="EW13" i="5"/>
  <c r="EZ13" i="5" s="1"/>
  <c r="FC13" i="5" s="1"/>
  <c r="ET216" i="5"/>
  <c r="EW215" i="5"/>
  <c r="ET320" i="5"/>
  <c r="EW317" i="5"/>
  <c r="ET97" i="5"/>
  <c r="EW94" i="5"/>
  <c r="EZ94" i="5" s="1"/>
  <c r="ET8" i="5"/>
  <c r="EW5" i="5"/>
  <c r="ET312" i="5"/>
  <c r="EW300" i="5"/>
  <c r="EZ300" i="5" s="1"/>
  <c r="FC300" i="5" s="1"/>
  <c r="ET311" i="5"/>
  <c r="ET71" i="5"/>
  <c r="EW62" i="5"/>
  <c r="ET241" i="5"/>
  <c r="EW228" i="5"/>
  <c r="EZ228" i="5" s="1"/>
  <c r="FC228" i="5" s="1"/>
  <c r="ET240" i="5"/>
  <c r="ET167" i="5"/>
  <c r="EW161" i="5"/>
  <c r="E6" i="59"/>
  <c r="E6" i="58"/>
  <c r="E6" i="56"/>
  <c r="H6" i="56" s="1"/>
  <c r="O14" i="69" l="1"/>
  <c r="O14" i="68"/>
  <c r="GX168" i="5"/>
  <c r="GX353" i="5" s="1"/>
  <c r="GX355" i="5" s="1"/>
  <c r="GX1" i="5" s="1"/>
  <c r="HA163" i="5"/>
  <c r="HA96" i="5"/>
  <c r="HA357" i="5"/>
  <c r="EG122" i="4"/>
  <c r="D6" i="69" s="1"/>
  <c r="EZ294" i="5"/>
  <c r="EZ311" i="5" s="1"/>
  <c r="K27" i="59"/>
  <c r="FO324" i="5"/>
  <c r="FO156" i="5"/>
  <c r="FO155" i="5"/>
  <c r="FF113" i="5"/>
  <c r="FI113" i="5" s="1"/>
  <c r="FI117" i="5" s="1"/>
  <c r="FC117" i="5"/>
  <c r="FF143" i="5"/>
  <c r="FI143" i="5" s="1"/>
  <c r="FL143" i="5" s="1"/>
  <c r="FC146" i="5"/>
  <c r="FF228" i="5"/>
  <c r="FI228" i="5" s="1"/>
  <c r="FL228" i="5" s="1"/>
  <c r="FO228" i="5" s="1"/>
  <c r="FC241" i="5"/>
  <c r="FC240" i="5"/>
  <c r="FF125" i="5"/>
  <c r="FI125" i="5" s="1"/>
  <c r="FL125" i="5" s="1"/>
  <c r="FC131" i="5"/>
  <c r="FF13" i="5"/>
  <c r="FI13" i="5" s="1"/>
  <c r="FL13" i="5" s="1"/>
  <c r="FC23" i="5"/>
  <c r="FF300" i="5"/>
  <c r="FI300" i="5" s="1"/>
  <c r="FL300" i="5" s="1"/>
  <c r="H16" i="60"/>
  <c r="FL156" i="5"/>
  <c r="FL155" i="5"/>
  <c r="FL324" i="5"/>
  <c r="H27" i="61"/>
  <c r="O6" i="61"/>
  <c r="O6" i="60"/>
  <c r="EG126" i="4"/>
  <c r="I13" i="60"/>
  <c r="I13" i="61"/>
  <c r="FI156" i="5"/>
  <c r="FI155" i="5"/>
  <c r="FI324" i="5"/>
  <c r="I13" i="59"/>
  <c r="FF243" i="5"/>
  <c r="FC347" i="5"/>
  <c r="FF337" i="5"/>
  <c r="FC180" i="5"/>
  <c r="FF176" i="5"/>
  <c r="FF156" i="5"/>
  <c r="FF155" i="5"/>
  <c r="FC336" i="5"/>
  <c r="FF332" i="5"/>
  <c r="FF48" i="5"/>
  <c r="FC37" i="5"/>
  <c r="FF32" i="5"/>
  <c r="FC25" i="5"/>
  <c r="FF14" i="5"/>
  <c r="FF169" i="5"/>
  <c r="FF206" i="5"/>
  <c r="FF248" i="5"/>
  <c r="FC242" i="5"/>
  <c r="FF237" i="5"/>
  <c r="FC168" i="5"/>
  <c r="FF162" i="5"/>
  <c r="FF72" i="5"/>
  <c r="FF324" i="5"/>
  <c r="K27" i="60"/>
  <c r="K16" i="60"/>
  <c r="FC24" i="5"/>
  <c r="FC156" i="5"/>
  <c r="FC155" i="5"/>
  <c r="FC324" i="5"/>
  <c r="EZ205" i="5"/>
  <c r="FC198" i="5"/>
  <c r="FC147" i="5"/>
  <c r="EZ204" i="5"/>
  <c r="FC194" i="5"/>
  <c r="FC312" i="5"/>
  <c r="FC118" i="5"/>
  <c r="FC132" i="5"/>
  <c r="EZ97" i="5"/>
  <c r="FC94" i="5"/>
  <c r="H27" i="59"/>
  <c r="EZ312" i="5"/>
  <c r="EW160" i="5"/>
  <c r="EZ157" i="5"/>
  <c r="EW214" i="5"/>
  <c r="EZ213" i="5"/>
  <c r="EW8" i="5"/>
  <c r="EZ5" i="5"/>
  <c r="EW103" i="5"/>
  <c r="EZ102" i="5"/>
  <c r="EW100" i="5"/>
  <c r="EZ99" i="5"/>
  <c r="EZ324" i="5"/>
  <c r="EZ132" i="5"/>
  <c r="EZ131" i="5"/>
  <c r="EW159" i="5"/>
  <c r="EZ158" i="5"/>
  <c r="EW31" i="5"/>
  <c r="EZ26" i="5"/>
  <c r="EZ156" i="5"/>
  <c r="EZ155" i="5"/>
  <c r="EZ118" i="5"/>
  <c r="EZ117" i="5"/>
  <c r="EZ24" i="5"/>
  <c r="EZ23" i="5"/>
  <c r="EW167" i="5"/>
  <c r="EZ161" i="5"/>
  <c r="EW320" i="5"/>
  <c r="EZ317" i="5"/>
  <c r="EZ147" i="5"/>
  <c r="EZ146" i="5"/>
  <c r="EW43" i="5"/>
  <c r="EZ40" i="5"/>
  <c r="EZ241" i="5"/>
  <c r="EZ240" i="5"/>
  <c r="EW316" i="5"/>
  <c r="EZ314" i="5"/>
  <c r="ET114" i="5"/>
  <c r="EQ119" i="5"/>
  <c r="EQ353" i="5" s="1"/>
  <c r="L13" i="61" s="1"/>
  <c r="EW71" i="5"/>
  <c r="EZ62" i="5"/>
  <c r="EW216" i="5"/>
  <c r="EZ215" i="5"/>
  <c r="EW331" i="5"/>
  <c r="EZ325" i="5"/>
  <c r="H16" i="58"/>
  <c r="EW97" i="5"/>
  <c r="EW156" i="5"/>
  <c r="EW155" i="5"/>
  <c r="EW118" i="5"/>
  <c r="EW117" i="5"/>
  <c r="EW241" i="5"/>
  <c r="EW240" i="5"/>
  <c r="EW147" i="5"/>
  <c r="EW146" i="5"/>
  <c r="EW204" i="5"/>
  <c r="EW24" i="5"/>
  <c r="EW23" i="5"/>
  <c r="EW132" i="5"/>
  <c r="EW131" i="5"/>
  <c r="EW312" i="5"/>
  <c r="EW311" i="5"/>
  <c r="ET351" i="5"/>
  <c r="EW324" i="5"/>
  <c r="EK184" i="5"/>
  <c r="EK183" i="5"/>
  <c r="EN183" i="5" s="1"/>
  <c r="EQ183" i="5" s="1"/>
  <c r="ET183" i="5" s="1"/>
  <c r="EW183" i="5" s="1"/>
  <c r="EZ183" i="5" s="1"/>
  <c r="FC183" i="5" s="1"/>
  <c r="FF183" i="5" s="1"/>
  <c r="FI183" i="5" s="1"/>
  <c r="FL183" i="5" s="1"/>
  <c r="FO183" i="5" s="1"/>
  <c r="EK181" i="5"/>
  <c r="EK86" i="5"/>
  <c r="R6" i="61" l="1"/>
  <c r="HA350" i="5"/>
  <c r="HA168" i="5"/>
  <c r="O29" i="68"/>
  <c r="O16" i="68"/>
  <c r="O16" i="69"/>
  <c r="O29" i="69"/>
  <c r="R12" i="69"/>
  <c r="G6" i="63"/>
  <c r="D6" i="68"/>
  <c r="D6" i="67"/>
  <c r="D6" i="66"/>
  <c r="EK357" i="5"/>
  <c r="FF132" i="5"/>
  <c r="FC294" i="5"/>
  <c r="FI118" i="5"/>
  <c r="FF131" i="5"/>
  <c r="FL113" i="5"/>
  <c r="FO113" i="5" s="1"/>
  <c r="FO117" i="5" s="1"/>
  <c r="FF118" i="5"/>
  <c r="FI147" i="5"/>
  <c r="FF117" i="5"/>
  <c r="FF146" i="5"/>
  <c r="FF147" i="5"/>
  <c r="FF240" i="5"/>
  <c r="FF312" i="5"/>
  <c r="FL146" i="5"/>
  <c r="FO143" i="5"/>
  <c r="FF241" i="5"/>
  <c r="FO300" i="5"/>
  <c r="FI146" i="5"/>
  <c r="FI312" i="5"/>
  <c r="FO241" i="5"/>
  <c r="FO240" i="5"/>
  <c r="FI240" i="5"/>
  <c r="FI241" i="5"/>
  <c r="FL24" i="5"/>
  <c r="FO13" i="5"/>
  <c r="FL240" i="5"/>
  <c r="FL241" i="5"/>
  <c r="FL131" i="5"/>
  <c r="FO125" i="5"/>
  <c r="FF24" i="5"/>
  <c r="FI23" i="5"/>
  <c r="FI24" i="5"/>
  <c r="FI132" i="5"/>
  <c r="FL312" i="5"/>
  <c r="FL23" i="5"/>
  <c r="FI131" i="5"/>
  <c r="FL147" i="5"/>
  <c r="FF23" i="5"/>
  <c r="FL132" i="5"/>
  <c r="FF247" i="5"/>
  <c r="FI243" i="5"/>
  <c r="FF212" i="5"/>
  <c r="FI206" i="5"/>
  <c r="FF168" i="5"/>
  <c r="FI162" i="5"/>
  <c r="FI168" i="5" s="1"/>
  <c r="FF179" i="5"/>
  <c r="FI169" i="5"/>
  <c r="FI179" i="5" s="1"/>
  <c r="FF70" i="5"/>
  <c r="FI48" i="5"/>
  <c r="FF84" i="5"/>
  <c r="FI72" i="5"/>
  <c r="FI84" i="5" s="1"/>
  <c r="FF242" i="5"/>
  <c r="FI237" i="5"/>
  <c r="FF25" i="5"/>
  <c r="FI14" i="5"/>
  <c r="FI248" i="5"/>
  <c r="FF37" i="5"/>
  <c r="FI32" i="5"/>
  <c r="FF180" i="5"/>
  <c r="FI176" i="5"/>
  <c r="FF336" i="5"/>
  <c r="FI332" i="5"/>
  <c r="FF347" i="5"/>
  <c r="FI337" i="5"/>
  <c r="FC204" i="5"/>
  <c r="FF194" i="5"/>
  <c r="FC97" i="5"/>
  <c r="FF94" i="5"/>
  <c r="FC205" i="5"/>
  <c r="FF198" i="5"/>
  <c r="L13" i="59"/>
  <c r="L13" i="60"/>
  <c r="EZ100" i="5"/>
  <c r="FC99" i="5"/>
  <c r="EZ103" i="5"/>
  <c r="FC102" i="5"/>
  <c r="FC103" i="5" s="1"/>
  <c r="EZ331" i="5"/>
  <c r="FC325" i="5"/>
  <c r="EZ8" i="5"/>
  <c r="FC5" i="5"/>
  <c r="FC8" i="5" s="1"/>
  <c r="EZ216" i="5"/>
  <c r="FC215" i="5"/>
  <c r="EZ31" i="5"/>
  <c r="FC26" i="5"/>
  <c r="FC31" i="5" s="1"/>
  <c r="EZ214" i="5"/>
  <c r="FC213" i="5"/>
  <c r="EZ43" i="5"/>
  <c r="FC40" i="5"/>
  <c r="FC43" i="5" s="1"/>
  <c r="EZ71" i="5"/>
  <c r="FC62" i="5"/>
  <c r="EZ320" i="5"/>
  <c r="FC317" i="5"/>
  <c r="EZ159" i="5"/>
  <c r="FC158" i="5"/>
  <c r="EZ160" i="5"/>
  <c r="FC157" i="5"/>
  <c r="EZ167" i="5"/>
  <c r="FC161" i="5"/>
  <c r="FC167" i="5" s="1"/>
  <c r="EZ316" i="5"/>
  <c r="FC314" i="5"/>
  <c r="FF314" i="5" s="1"/>
  <c r="FI314" i="5" s="1"/>
  <c r="FL314" i="5" s="1"/>
  <c r="FO314" i="5" s="1"/>
  <c r="FO316" i="5" s="1"/>
  <c r="EN86" i="5"/>
  <c r="EK96" i="5"/>
  <c r="EN181" i="5"/>
  <c r="EK203" i="5"/>
  <c r="EN184" i="5"/>
  <c r="EW114" i="5"/>
  <c r="ET119" i="5"/>
  <c r="ET353" i="5" s="1"/>
  <c r="EZ351" i="5"/>
  <c r="EW351" i="5"/>
  <c r="DV97" i="4"/>
  <c r="DV96" i="4"/>
  <c r="DV94" i="4"/>
  <c r="DV93" i="4"/>
  <c r="DV92" i="4"/>
  <c r="DV90" i="4"/>
  <c r="DV89" i="4"/>
  <c r="DV88" i="4"/>
  <c r="DV85" i="4"/>
  <c r="DV83" i="4"/>
  <c r="DV78" i="4"/>
  <c r="DV77" i="4"/>
  <c r="DV76" i="4"/>
  <c r="DV71" i="4"/>
  <c r="DV56" i="4"/>
  <c r="DV55" i="4"/>
  <c r="DV37" i="4"/>
  <c r="DV40" i="4"/>
  <c r="DV29" i="4"/>
  <c r="DV28" i="4"/>
  <c r="DV27" i="4"/>
  <c r="DV26" i="4"/>
  <c r="DV25" i="4"/>
  <c r="DV24" i="4"/>
  <c r="DV21" i="4"/>
  <c r="DV16" i="4"/>
  <c r="DV15" i="4"/>
  <c r="DV13" i="4"/>
  <c r="DV12" i="4"/>
  <c r="DV11" i="4"/>
  <c r="DV10" i="4"/>
  <c r="DV8" i="4"/>
  <c r="DV7" i="4"/>
  <c r="DV6" i="4"/>
  <c r="DV5" i="4"/>
  <c r="F25" i="54"/>
  <c r="D12" i="63" l="1"/>
  <c r="HA353" i="5"/>
  <c r="D13" i="63" s="1"/>
  <c r="EN357" i="5"/>
  <c r="FF294" i="5"/>
  <c r="FC311" i="5"/>
  <c r="FO118" i="5"/>
  <c r="FL118" i="5"/>
  <c r="FL117" i="5"/>
  <c r="FO312" i="5"/>
  <c r="FO24" i="5"/>
  <c r="FO23" i="5"/>
  <c r="FO132" i="5"/>
  <c r="FO131" i="5"/>
  <c r="FO147" i="5"/>
  <c r="FO146" i="5"/>
  <c r="FI180" i="5"/>
  <c r="FL176" i="5"/>
  <c r="FI70" i="5"/>
  <c r="FL48" i="5"/>
  <c r="FI37" i="5"/>
  <c r="FL32" i="5"/>
  <c r="FL169" i="5"/>
  <c r="FL162" i="5"/>
  <c r="FI278" i="5"/>
  <c r="FL248" i="5"/>
  <c r="FI25" i="5"/>
  <c r="FL14" i="5"/>
  <c r="FI212" i="5"/>
  <c r="FL206" i="5"/>
  <c r="FL316" i="5"/>
  <c r="FI347" i="5"/>
  <c r="FL337" i="5"/>
  <c r="FI242" i="5"/>
  <c r="FL237" i="5"/>
  <c r="FI247" i="5"/>
  <c r="FL243" i="5"/>
  <c r="FI336" i="5"/>
  <c r="FL332" i="5"/>
  <c r="FL72" i="5"/>
  <c r="FF97" i="5"/>
  <c r="FI94" i="5"/>
  <c r="FF205" i="5"/>
  <c r="FI198" i="5"/>
  <c r="FF204" i="5"/>
  <c r="FI194" i="5"/>
  <c r="FI316" i="5"/>
  <c r="FC351" i="5"/>
  <c r="FF161" i="5"/>
  <c r="FC214" i="5"/>
  <c r="FF213" i="5"/>
  <c r="FC100" i="5"/>
  <c r="FF99" i="5"/>
  <c r="FC216" i="5"/>
  <c r="FF215" i="5"/>
  <c r="FC320" i="5"/>
  <c r="FF317" i="5"/>
  <c r="FF5" i="5"/>
  <c r="FC160" i="5"/>
  <c r="FF157" i="5"/>
  <c r="FI157" i="5" s="1"/>
  <c r="FF26" i="5"/>
  <c r="FC159" i="5"/>
  <c r="FF158" i="5"/>
  <c r="FF102" i="5"/>
  <c r="FC71" i="5"/>
  <c r="FF62" i="5"/>
  <c r="FC331" i="5"/>
  <c r="FF325" i="5"/>
  <c r="FF316" i="5"/>
  <c r="FF40" i="5"/>
  <c r="FC316" i="5"/>
  <c r="EZ114" i="5"/>
  <c r="EW119" i="5"/>
  <c r="EW353" i="5" s="1"/>
  <c r="EQ184" i="5"/>
  <c r="EQ181" i="5"/>
  <c r="EN203" i="5"/>
  <c r="EQ86" i="5"/>
  <c r="EN96" i="5"/>
  <c r="DU14" i="4"/>
  <c r="EK278" i="5"/>
  <c r="D15" i="55"/>
  <c r="D16" i="55" s="1"/>
  <c r="C15" i="55"/>
  <c r="C16" i="55" s="1"/>
  <c r="EK347" i="5"/>
  <c r="EK336" i="5"/>
  <c r="EK331" i="5"/>
  <c r="EK324" i="5"/>
  <c r="EK320" i="5"/>
  <c r="EK316" i="5"/>
  <c r="EK313" i="5"/>
  <c r="EK312" i="5"/>
  <c r="EK311" i="5"/>
  <c r="EK247" i="5"/>
  <c r="EK241" i="5"/>
  <c r="EK240" i="5"/>
  <c r="EK216" i="5"/>
  <c r="EL203" i="5"/>
  <c r="EK180" i="5"/>
  <c r="EK179" i="5"/>
  <c r="EK168" i="5"/>
  <c r="EK167" i="5"/>
  <c r="EK160" i="5"/>
  <c r="EK159" i="5"/>
  <c r="EK156" i="5"/>
  <c r="EK155" i="5"/>
  <c r="EK148" i="5"/>
  <c r="EK147" i="5"/>
  <c r="EK146" i="5"/>
  <c r="EK137" i="5"/>
  <c r="EK136" i="5"/>
  <c r="EK132" i="5"/>
  <c r="EK131" i="5"/>
  <c r="EL117" i="5"/>
  <c r="EK103" i="5"/>
  <c r="EK100" i="5"/>
  <c r="EK97" i="5"/>
  <c r="EK85" i="5"/>
  <c r="EK84" i="5"/>
  <c r="EK43" i="5"/>
  <c r="EK37" i="5"/>
  <c r="EK31" i="5"/>
  <c r="EK25" i="5"/>
  <c r="EK24" i="5"/>
  <c r="EK23" i="5"/>
  <c r="EK8" i="5"/>
  <c r="DU126" i="4"/>
  <c r="F6" i="54"/>
  <c r="F7" i="54"/>
  <c r="DU35" i="4"/>
  <c r="C8" i="69" s="1"/>
  <c r="DS126" i="4"/>
  <c r="E6" i="54"/>
  <c r="DS99" i="4"/>
  <c r="DS35" i="4"/>
  <c r="DS22" i="4"/>
  <c r="EI347" i="5"/>
  <c r="EI336" i="5"/>
  <c r="EI331" i="5"/>
  <c r="EI324" i="5"/>
  <c r="EI320" i="5"/>
  <c r="EI316" i="5"/>
  <c r="EI313" i="5"/>
  <c r="EI312" i="5"/>
  <c r="EI311" i="5"/>
  <c r="EI278" i="5"/>
  <c r="EI247" i="5"/>
  <c r="EI216" i="5"/>
  <c r="EI214" i="5"/>
  <c r="EI180" i="5"/>
  <c r="EI179" i="5"/>
  <c r="EI168" i="5"/>
  <c r="EI167" i="5"/>
  <c r="EI160" i="5"/>
  <c r="EI159" i="5"/>
  <c r="EI156" i="5"/>
  <c r="EI155" i="5"/>
  <c r="EI148" i="5"/>
  <c r="EI147" i="5"/>
  <c r="EI146" i="5"/>
  <c r="EI137" i="5"/>
  <c r="EI136" i="5"/>
  <c r="EI132" i="5"/>
  <c r="EI131" i="5"/>
  <c r="EI118" i="5"/>
  <c r="EI103" i="5"/>
  <c r="EI100" i="5"/>
  <c r="EI97" i="5"/>
  <c r="EI85" i="5"/>
  <c r="EI43" i="5"/>
  <c r="EI37" i="5"/>
  <c r="EI31" i="5"/>
  <c r="EI25" i="5"/>
  <c r="EI24" i="5"/>
  <c r="EI23" i="5"/>
  <c r="EI8" i="5"/>
  <c r="F16" i="55"/>
  <c r="E16" i="55"/>
  <c r="F13" i="55"/>
  <c r="E13" i="55"/>
  <c r="F10" i="55"/>
  <c r="E10" i="55"/>
  <c r="E25" i="54"/>
  <c r="D25" i="54"/>
  <c r="C25" i="54"/>
  <c r="EF96" i="5"/>
  <c r="EF337" i="5"/>
  <c r="EF357" i="5" s="1"/>
  <c r="EF336" i="5"/>
  <c r="EF331" i="5"/>
  <c r="EF324" i="5"/>
  <c r="EF320" i="5"/>
  <c r="EF316" i="5"/>
  <c r="EG313" i="5"/>
  <c r="EF313" i="5"/>
  <c r="EF312" i="5"/>
  <c r="EF311" i="5"/>
  <c r="EF278" i="5"/>
  <c r="EF247" i="5"/>
  <c r="EF242" i="5"/>
  <c r="EF241" i="5"/>
  <c r="EF240" i="5"/>
  <c r="EF216" i="5"/>
  <c r="EF214" i="5"/>
  <c r="EF212" i="5"/>
  <c r="EF205" i="5"/>
  <c r="EF204" i="5"/>
  <c r="EF180" i="5"/>
  <c r="EF179" i="5"/>
  <c r="EF168" i="5"/>
  <c r="EF167" i="5"/>
  <c r="EF160" i="5"/>
  <c r="EF159" i="5"/>
  <c r="EF156" i="5"/>
  <c r="EF155" i="5"/>
  <c r="EG148" i="5"/>
  <c r="EF148" i="5"/>
  <c r="EF147" i="5"/>
  <c r="EF146" i="5"/>
  <c r="EG137" i="5"/>
  <c r="EF137" i="5"/>
  <c r="EG136" i="5"/>
  <c r="EF136" i="5"/>
  <c r="EF132" i="5"/>
  <c r="EF131" i="5"/>
  <c r="EF119" i="5"/>
  <c r="EF118" i="5"/>
  <c r="EF117" i="5"/>
  <c r="EF103" i="5"/>
  <c r="EF100" i="5"/>
  <c r="EF97" i="5"/>
  <c r="EG85" i="5"/>
  <c r="EF85" i="5"/>
  <c r="EF84" i="5"/>
  <c r="EF70" i="5"/>
  <c r="EF43" i="5"/>
  <c r="EF37" i="5"/>
  <c r="EF31" i="5"/>
  <c r="EF25" i="5"/>
  <c r="EF24" i="5"/>
  <c r="EF23" i="5"/>
  <c r="EF8" i="5"/>
  <c r="DP122" i="4"/>
  <c r="DP99" i="4"/>
  <c r="DP35" i="4"/>
  <c r="DP126" i="4"/>
  <c r="DM10" i="4"/>
  <c r="DM7" i="4"/>
  <c r="AA19" i="53"/>
  <c r="AA23" i="53" s="1"/>
  <c r="Z23" i="53"/>
  <c r="X23" i="53"/>
  <c r="W23" i="53"/>
  <c r="T23" i="53"/>
  <c r="Q23" i="53"/>
  <c r="N23" i="53"/>
  <c r="L23" i="53"/>
  <c r="K23" i="53"/>
  <c r="I23" i="53"/>
  <c r="H23" i="53"/>
  <c r="F23" i="53"/>
  <c r="E23" i="53"/>
  <c r="D23" i="53"/>
  <c r="C23" i="53"/>
  <c r="U20" i="53"/>
  <c r="U23" i="53" s="1"/>
  <c r="O20" i="53"/>
  <c r="O23" i="53" s="1"/>
  <c r="DM122" i="4"/>
  <c r="Z6" i="53" s="1"/>
  <c r="DN83" i="4"/>
  <c r="DQ83" i="4" s="1"/>
  <c r="R13" i="69" l="1"/>
  <c r="R14" i="69" s="1"/>
  <c r="HA355" i="5"/>
  <c r="C8" i="68"/>
  <c r="C8" i="67"/>
  <c r="C8" i="66"/>
  <c r="EQ357" i="5"/>
  <c r="FI294" i="5"/>
  <c r="FF311" i="5"/>
  <c r="D7" i="57"/>
  <c r="D8" i="57"/>
  <c r="R20" i="53"/>
  <c r="R23" i="53" s="1"/>
  <c r="FL84" i="5"/>
  <c r="FO72" i="5"/>
  <c r="FO84" i="5" s="1"/>
  <c r="FL25" i="5"/>
  <c r="FO14" i="5"/>
  <c r="FO25" i="5" s="1"/>
  <c r="FL212" i="5"/>
  <c r="FO206" i="5"/>
  <c r="FO212" i="5" s="1"/>
  <c r="FL336" i="5"/>
  <c r="FO332" i="5"/>
  <c r="FO336" i="5" s="1"/>
  <c r="FL278" i="5"/>
  <c r="FO248" i="5"/>
  <c r="FO278" i="5" s="1"/>
  <c r="FL247" i="5"/>
  <c r="FO243" i="5"/>
  <c r="FO247" i="5" s="1"/>
  <c r="FL168" i="5"/>
  <c r="FO162" i="5"/>
  <c r="FO168" i="5" s="1"/>
  <c r="FL242" i="5"/>
  <c r="FO237" i="5"/>
  <c r="FO242" i="5" s="1"/>
  <c r="FO169" i="5"/>
  <c r="FO179" i="5" s="1"/>
  <c r="FL179" i="5"/>
  <c r="FL37" i="5"/>
  <c r="FO32" i="5"/>
  <c r="FO37" i="5" s="1"/>
  <c r="FL180" i="5"/>
  <c r="FO176" i="5"/>
  <c r="FO180" i="5" s="1"/>
  <c r="FL347" i="5"/>
  <c r="FO337" i="5"/>
  <c r="FL70" i="5"/>
  <c r="FO48" i="5"/>
  <c r="FO70" i="5" s="1"/>
  <c r="FI204" i="5"/>
  <c r="FL194" i="5"/>
  <c r="FI205" i="5"/>
  <c r="FL198" i="5"/>
  <c r="FI97" i="5"/>
  <c r="FL94" i="5"/>
  <c r="FI160" i="5"/>
  <c r="FL157" i="5"/>
  <c r="F8" i="61"/>
  <c r="F8" i="60"/>
  <c r="E5" i="60"/>
  <c r="E5" i="61"/>
  <c r="E8" i="61"/>
  <c r="E8" i="60"/>
  <c r="E7" i="60"/>
  <c r="E7" i="61"/>
  <c r="FF331" i="5"/>
  <c r="FI325" i="5"/>
  <c r="FF8" i="5"/>
  <c r="FI5" i="5"/>
  <c r="FF71" i="5"/>
  <c r="FI62" i="5"/>
  <c r="FF320" i="5"/>
  <c r="FI317" i="5"/>
  <c r="FL317" i="5" s="1"/>
  <c r="FF103" i="5"/>
  <c r="FI102" i="5"/>
  <c r="FI103" i="5" s="1"/>
  <c r="FF216" i="5"/>
  <c r="FI215" i="5"/>
  <c r="FF167" i="5"/>
  <c r="FI161" i="5"/>
  <c r="FI167" i="5" s="1"/>
  <c r="FF159" i="5"/>
  <c r="FI158" i="5"/>
  <c r="FF100" i="5"/>
  <c r="FI99" i="5"/>
  <c r="FF31" i="5"/>
  <c r="FI26" i="5"/>
  <c r="FF214" i="5"/>
  <c r="FI213" i="5"/>
  <c r="FF43" i="5"/>
  <c r="FI40" i="5"/>
  <c r="EN350" i="5"/>
  <c r="FF160" i="5"/>
  <c r="FF351" i="5"/>
  <c r="EZ119" i="5"/>
  <c r="EZ353" i="5" s="1"/>
  <c r="FC114" i="5"/>
  <c r="ET86" i="5"/>
  <c r="EQ96" i="5"/>
  <c r="ET181" i="5"/>
  <c r="EQ203" i="5"/>
  <c r="ET184" i="5"/>
  <c r="E5" i="54"/>
  <c r="E5" i="58"/>
  <c r="E5" i="59"/>
  <c r="E5" i="56"/>
  <c r="E8" i="54"/>
  <c r="E8" i="56"/>
  <c r="E8" i="59"/>
  <c r="E8" i="58"/>
  <c r="E7" i="54"/>
  <c r="E7" i="58"/>
  <c r="E7" i="56"/>
  <c r="H7" i="56" s="1"/>
  <c r="E7" i="59"/>
  <c r="F8" i="59"/>
  <c r="F8" i="56"/>
  <c r="F8" i="58"/>
  <c r="DV14" i="4"/>
  <c r="DX14" i="4"/>
  <c r="C7" i="55"/>
  <c r="C7" i="57"/>
  <c r="F17" i="55"/>
  <c r="E17" i="55"/>
  <c r="D7" i="55"/>
  <c r="F8" i="54"/>
  <c r="DV35" i="4"/>
  <c r="DU22" i="4"/>
  <c r="C5" i="69" s="1"/>
  <c r="C9" i="69" s="1"/>
  <c r="EK353" i="5"/>
  <c r="C13" i="69" s="1"/>
  <c r="EL212" i="5"/>
  <c r="EL8" i="5"/>
  <c r="EL155" i="5"/>
  <c r="EL23" i="5"/>
  <c r="EL103" i="5"/>
  <c r="EL156" i="5"/>
  <c r="EL159" i="5"/>
  <c r="EL240" i="5"/>
  <c r="EL25" i="5"/>
  <c r="EL241" i="5"/>
  <c r="EL31" i="5"/>
  <c r="EL119" i="5"/>
  <c r="EL167" i="5"/>
  <c r="EL242" i="5"/>
  <c r="EL37" i="5"/>
  <c r="EL131" i="5"/>
  <c r="EL168" i="5"/>
  <c r="EL43" i="5"/>
  <c r="EL179" i="5"/>
  <c r="EL70" i="5"/>
  <c r="EL180" i="5"/>
  <c r="EL84" i="5"/>
  <c r="EL146" i="5"/>
  <c r="EL204" i="5"/>
  <c r="EL96" i="5"/>
  <c r="EL147" i="5"/>
  <c r="EL205" i="5"/>
  <c r="EK351" i="5"/>
  <c r="EF347" i="5"/>
  <c r="D8" i="55"/>
  <c r="EK350" i="5"/>
  <c r="C12" i="69" s="1"/>
  <c r="H6" i="54"/>
  <c r="DS124" i="4"/>
  <c r="DS1" i="4" s="1"/>
  <c r="EI353" i="5"/>
  <c r="H13" i="63" s="1"/>
  <c r="EI351" i="5"/>
  <c r="EI350" i="5"/>
  <c r="EF353" i="5"/>
  <c r="EF351" i="5"/>
  <c r="DP22" i="4"/>
  <c r="DP124" i="4" s="1"/>
  <c r="DP1" i="4" s="1"/>
  <c r="ED290" i="5"/>
  <c r="EG290" i="5" s="1"/>
  <c r="C14" i="69" l="1"/>
  <c r="C29" i="69" s="1"/>
  <c r="HA1" i="5"/>
  <c r="R29" i="69"/>
  <c r="R16" i="69"/>
  <c r="C12" i="66"/>
  <c r="C12" i="68"/>
  <c r="C12" i="67"/>
  <c r="C13" i="67"/>
  <c r="C13" i="68"/>
  <c r="C5" i="68"/>
  <c r="C9" i="68" s="1"/>
  <c r="C5" i="67"/>
  <c r="C9" i="67" s="1"/>
  <c r="C13" i="66"/>
  <c r="C14" i="66" s="1"/>
  <c r="C9" i="63"/>
  <c r="C5" i="66"/>
  <c r="C9" i="66" s="1"/>
  <c r="ET357" i="5"/>
  <c r="FL294" i="5"/>
  <c r="FI311" i="5"/>
  <c r="E12" i="61"/>
  <c r="C6" i="57"/>
  <c r="C8" i="57"/>
  <c r="C9" i="55"/>
  <c r="F12" i="61"/>
  <c r="FL97" i="5"/>
  <c r="FO94" i="5"/>
  <c r="FO97" i="5" s="1"/>
  <c r="FL205" i="5"/>
  <c r="FO198" i="5"/>
  <c r="FO205" i="5" s="1"/>
  <c r="FL204" i="5"/>
  <c r="FO194" i="5"/>
  <c r="FO204" i="5" s="1"/>
  <c r="FL320" i="5"/>
  <c r="FO317" i="5"/>
  <c r="FO320" i="5" s="1"/>
  <c r="FL160" i="5"/>
  <c r="FO157" i="5"/>
  <c r="FO160" i="5" s="1"/>
  <c r="FI351" i="5"/>
  <c r="FO347" i="5"/>
  <c r="FI159" i="5"/>
  <c r="FL158" i="5"/>
  <c r="FI8" i="5"/>
  <c r="FL5" i="5"/>
  <c r="FL161" i="5"/>
  <c r="FI331" i="5"/>
  <c r="FL325" i="5"/>
  <c r="FI216" i="5"/>
  <c r="FL215" i="5"/>
  <c r="FI43" i="5"/>
  <c r="FL40" i="5"/>
  <c r="FI214" i="5"/>
  <c r="FL213" i="5"/>
  <c r="FL102" i="5"/>
  <c r="FI31" i="5"/>
  <c r="FL26" i="5"/>
  <c r="FI100" i="5"/>
  <c r="FL99" i="5"/>
  <c r="FI71" i="5"/>
  <c r="FL62" i="5"/>
  <c r="F5" i="60"/>
  <c r="F9" i="60" s="1"/>
  <c r="F5" i="61"/>
  <c r="F9" i="61" s="1"/>
  <c r="C6" i="55"/>
  <c r="E9" i="61"/>
  <c r="E9" i="60"/>
  <c r="E13" i="60"/>
  <c r="E13" i="61"/>
  <c r="F13" i="60"/>
  <c r="F13" i="61"/>
  <c r="I12" i="60"/>
  <c r="I14" i="60" s="1"/>
  <c r="I12" i="61"/>
  <c r="I14" i="61" s="1"/>
  <c r="I12" i="59"/>
  <c r="I14" i="59" s="1"/>
  <c r="EN355" i="5"/>
  <c r="EN1" i="5" s="1"/>
  <c r="I12" i="58"/>
  <c r="I14" i="58" s="1"/>
  <c r="FI320" i="5"/>
  <c r="FC119" i="5"/>
  <c r="FC353" i="5" s="1"/>
  <c r="FF114" i="5"/>
  <c r="F12" i="59"/>
  <c r="F12" i="60"/>
  <c r="E12" i="59"/>
  <c r="E12" i="60"/>
  <c r="EW181" i="5"/>
  <c r="ET203" i="5"/>
  <c r="EQ350" i="5"/>
  <c r="EW184" i="5"/>
  <c r="EW86" i="5"/>
  <c r="ET96" i="5"/>
  <c r="H7" i="54"/>
  <c r="C8" i="55"/>
  <c r="F13" i="58"/>
  <c r="F13" i="59"/>
  <c r="E13" i="58"/>
  <c r="E13" i="59"/>
  <c r="C9" i="57"/>
  <c r="E9" i="54"/>
  <c r="EA14" i="4"/>
  <c r="DX22" i="4"/>
  <c r="E9" i="56"/>
  <c r="E9" i="59"/>
  <c r="DU124" i="4"/>
  <c r="DU1" i="4" s="1"/>
  <c r="F5" i="58"/>
  <c r="F9" i="58" s="1"/>
  <c r="F5" i="59"/>
  <c r="F9" i="59" s="1"/>
  <c r="F5" i="56"/>
  <c r="E9" i="58"/>
  <c r="H8" i="56"/>
  <c r="G8" i="56"/>
  <c r="F12" i="56"/>
  <c r="G12" i="56" s="1"/>
  <c r="F12" i="58"/>
  <c r="E12" i="56"/>
  <c r="E12" i="58"/>
  <c r="H8" i="54"/>
  <c r="D9" i="57"/>
  <c r="F13" i="54"/>
  <c r="F13" i="56"/>
  <c r="E13" i="54"/>
  <c r="E13" i="56"/>
  <c r="D9" i="55"/>
  <c r="G8" i="54"/>
  <c r="F5" i="54"/>
  <c r="DV22" i="4"/>
  <c r="EK355" i="5"/>
  <c r="EK1" i="5" s="1"/>
  <c r="F12" i="54"/>
  <c r="EI355" i="5"/>
  <c r="EI1" i="5" s="1"/>
  <c r="E12" i="54"/>
  <c r="EC100" i="5"/>
  <c r="ED98" i="5"/>
  <c r="EG98" i="5" s="1"/>
  <c r="EC347" i="5"/>
  <c r="EC336" i="5"/>
  <c r="EC331" i="5"/>
  <c r="EC324" i="5"/>
  <c r="EC320" i="5"/>
  <c r="EC316" i="5"/>
  <c r="ED313" i="5"/>
  <c r="EC313" i="5"/>
  <c r="EC312" i="5"/>
  <c r="EC311" i="5"/>
  <c r="EC278" i="5"/>
  <c r="EC247" i="5"/>
  <c r="EC242" i="5"/>
  <c r="EC241" i="5"/>
  <c r="EC240" i="5"/>
  <c r="EC216" i="5"/>
  <c r="EC214" i="5"/>
  <c r="EC212" i="5"/>
  <c r="EC205" i="5"/>
  <c r="EC204" i="5"/>
  <c r="EC203" i="5"/>
  <c r="EC180" i="5"/>
  <c r="EC179" i="5"/>
  <c r="EC168" i="5"/>
  <c r="EC167" i="5"/>
  <c r="EC160" i="5"/>
  <c r="EC159" i="5"/>
  <c r="EC156" i="5"/>
  <c r="EC155" i="5"/>
  <c r="ED148" i="5"/>
  <c r="EC148" i="5"/>
  <c r="EC147" i="5"/>
  <c r="EC146" i="5"/>
  <c r="ED137" i="5"/>
  <c r="EC137" i="5"/>
  <c r="ED136" i="5"/>
  <c r="EC136" i="5"/>
  <c r="EC132" i="5"/>
  <c r="EC131" i="5"/>
  <c r="EC119" i="5"/>
  <c r="EC118" i="5"/>
  <c r="EC117" i="5"/>
  <c r="EC103" i="5"/>
  <c r="EC97" i="5"/>
  <c r="EC96" i="5"/>
  <c r="ED85" i="5"/>
  <c r="EC85" i="5"/>
  <c r="EC84" i="5"/>
  <c r="EC70" i="5"/>
  <c r="EC43" i="5"/>
  <c r="EC37" i="5"/>
  <c r="EC31" i="5"/>
  <c r="EC25" i="5"/>
  <c r="EC24" i="5"/>
  <c r="EC23" i="5"/>
  <c r="EC8" i="5"/>
  <c r="DM126" i="4"/>
  <c r="DM99" i="4"/>
  <c r="Z7" i="53" s="1"/>
  <c r="DM35" i="4"/>
  <c r="Z8" i="53" s="1"/>
  <c r="DM22" i="4"/>
  <c r="Z5" i="53" s="1"/>
  <c r="DZ100" i="5"/>
  <c r="EA99" i="5"/>
  <c r="ED99" i="5" s="1"/>
  <c r="DZ347" i="5"/>
  <c r="DZ336" i="5"/>
  <c r="DZ331" i="5"/>
  <c r="DZ324" i="5"/>
  <c r="DZ320" i="5"/>
  <c r="DZ316" i="5"/>
  <c r="EA313" i="5"/>
  <c r="DZ313" i="5"/>
  <c r="DZ312" i="5"/>
  <c r="DZ311" i="5"/>
  <c r="DZ278" i="5"/>
  <c r="DZ247" i="5"/>
  <c r="DZ242" i="5"/>
  <c r="DZ241" i="5"/>
  <c r="DZ240" i="5"/>
  <c r="DZ216" i="5"/>
  <c r="DZ214" i="5"/>
  <c r="DZ212" i="5"/>
  <c r="DZ205" i="5"/>
  <c r="DZ204" i="5"/>
  <c r="DZ203" i="5"/>
  <c r="DZ180" i="5"/>
  <c r="DZ179" i="5"/>
  <c r="DZ168" i="5"/>
  <c r="DZ167" i="5"/>
  <c r="DZ160" i="5"/>
  <c r="DZ159" i="5"/>
  <c r="DZ156" i="5"/>
  <c r="DZ155" i="5"/>
  <c r="EA148" i="5"/>
  <c r="DZ148" i="5"/>
  <c r="DZ147" i="5"/>
  <c r="DZ146" i="5"/>
  <c r="EA137" i="5"/>
  <c r="DZ137" i="5"/>
  <c r="EA136" i="5"/>
  <c r="DZ136" i="5"/>
  <c r="DZ132" i="5"/>
  <c r="DZ131" i="5"/>
  <c r="DZ119" i="5"/>
  <c r="DZ118" i="5"/>
  <c r="DZ117" i="5"/>
  <c r="DZ103" i="5"/>
  <c r="DZ97" i="5"/>
  <c r="DZ96" i="5"/>
  <c r="EA85" i="5"/>
  <c r="DZ85" i="5"/>
  <c r="DZ84" i="5"/>
  <c r="DZ70" i="5"/>
  <c r="DZ43" i="5"/>
  <c r="DZ37" i="5"/>
  <c r="DZ31" i="5"/>
  <c r="DZ25" i="5"/>
  <c r="DZ24" i="5"/>
  <c r="DZ23" i="5"/>
  <c r="DZ8" i="5"/>
  <c r="DW168" i="5"/>
  <c r="DX163" i="5"/>
  <c r="EA163" i="5" s="1"/>
  <c r="ED163" i="5" s="1"/>
  <c r="EG163" i="5" s="1"/>
  <c r="DJ126" i="4"/>
  <c r="DJ122" i="4"/>
  <c r="DJ99" i="4"/>
  <c r="DJ35" i="4"/>
  <c r="DJ22" i="4"/>
  <c r="W23" i="52"/>
  <c r="X23" i="52"/>
  <c r="T23" i="52"/>
  <c r="Q23" i="52"/>
  <c r="N23" i="52"/>
  <c r="L23" i="52"/>
  <c r="K23" i="52"/>
  <c r="I23" i="52"/>
  <c r="H23" i="52"/>
  <c r="F23" i="52"/>
  <c r="E23" i="52"/>
  <c r="D23" i="52"/>
  <c r="C23" i="52"/>
  <c r="U20" i="52"/>
  <c r="U23" i="52" s="1"/>
  <c r="O20" i="52"/>
  <c r="O23" i="52" s="1"/>
  <c r="DW347" i="5"/>
  <c r="DW336" i="5"/>
  <c r="DW331" i="5"/>
  <c r="DW324" i="5"/>
  <c r="DW320" i="5"/>
  <c r="DW316" i="5"/>
  <c r="DX313" i="5"/>
  <c r="DW313" i="5"/>
  <c r="DW312" i="5"/>
  <c r="DW311" i="5"/>
  <c r="DW278" i="5"/>
  <c r="DW247" i="5"/>
  <c r="DW242" i="5"/>
  <c r="DW241" i="5"/>
  <c r="DW240" i="5"/>
  <c r="DW216" i="5"/>
  <c r="DW214" i="5"/>
  <c r="DW212" i="5"/>
  <c r="DW205" i="5"/>
  <c r="DW204" i="5"/>
  <c r="DW203" i="5"/>
  <c r="DW180" i="5"/>
  <c r="DW179" i="5"/>
  <c r="DW167" i="5"/>
  <c r="DW160" i="5"/>
  <c r="DW159" i="5"/>
  <c r="DW156" i="5"/>
  <c r="DW155" i="5"/>
  <c r="DX148" i="5"/>
  <c r="DW148" i="5"/>
  <c r="DW147" i="5"/>
  <c r="DW146" i="5"/>
  <c r="DX137" i="5"/>
  <c r="DW137" i="5"/>
  <c r="DX136" i="5"/>
  <c r="DW136" i="5"/>
  <c r="DW132" i="5"/>
  <c r="DW131" i="5"/>
  <c r="DW119" i="5"/>
  <c r="DW118" i="5"/>
  <c r="DW117" i="5"/>
  <c r="DW103" i="5"/>
  <c r="DW97" i="5"/>
  <c r="DW96" i="5"/>
  <c r="DX85" i="5"/>
  <c r="DW85" i="5"/>
  <c r="DW84" i="5"/>
  <c r="DW70" i="5"/>
  <c r="DW43" i="5"/>
  <c r="DW37" i="5"/>
  <c r="DW31" i="5"/>
  <c r="DW25" i="5"/>
  <c r="DW24" i="5"/>
  <c r="DW23" i="5"/>
  <c r="DW8" i="5"/>
  <c r="C16" i="69" l="1"/>
  <c r="C14" i="63"/>
  <c r="C29" i="63" s="1"/>
  <c r="C14" i="67"/>
  <c r="C29" i="67" s="1"/>
  <c r="C14" i="68"/>
  <c r="C29" i="68" s="1"/>
  <c r="C29" i="66"/>
  <c r="C16" i="66"/>
  <c r="EW357" i="5"/>
  <c r="FO294" i="5"/>
  <c r="FL311" i="5"/>
  <c r="E14" i="61"/>
  <c r="E27" i="61" s="1"/>
  <c r="C10" i="57"/>
  <c r="R20" i="52"/>
  <c r="R23" i="52" s="1"/>
  <c r="C16" i="63"/>
  <c r="F14" i="61"/>
  <c r="F27" i="61" s="1"/>
  <c r="C10" i="62"/>
  <c r="C10" i="55"/>
  <c r="E14" i="63"/>
  <c r="E29" i="63" s="1"/>
  <c r="FL216" i="5"/>
  <c r="FO215" i="5"/>
  <c r="FO216" i="5" s="1"/>
  <c r="FL71" i="5"/>
  <c r="FO62" i="5"/>
  <c r="FO71" i="5" s="1"/>
  <c r="FL331" i="5"/>
  <c r="FO325" i="5"/>
  <c r="FO331" i="5" s="1"/>
  <c r="FL100" i="5"/>
  <c r="FO99" i="5"/>
  <c r="FO100" i="5" s="1"/>
  <c r="FL167" i="5"/>
  <c r="FO161" i="5"/>
  <c r="FO167" i="5" s="1"/>
  <c r="FL31" i="5"/>
  <c r="FO26" i="5"/>
  <c r="FO31" i="5" s="1"/>
  <c r="FL8" i="5"/>
  <c r="FO5" i="5"/>
  <c r="FO8" i="5" s="1"/>
  <c r="D12" i="55"/>
  <c r="FL103" i="5"/>
  <c r="FO102" i="5"/>
  <c r="FO103" i="5" s="1"/>
  <c r="FL159" i="5"/>
  <c r="FO158" i="5"/>
  <c r="FO159" i="5" s="1"/>
  <c r="C13" i="62"/>
  <c r="FL214" i="5"/>
  <c r="FO213" i="5"/>
  <c r="FO214" i="5" s="1"/>
  <c r="D11" i="57"/>
  <c r="FL43" i="5"/>
  <c r="FO40" i="5"/>
  <c r="FO43" i="5" s="1"/>
  <c r="FL351" i="5"/>
  <c r="E14" i="60"/>
  <c r="E16" i="60" s="1"/>
  <c r="F14" i="60"/>
  <c r="F16" i="60" s="1"/>
  <c r="I5" i="60"/>
  <c r="I9" i="60" s="1"/>
  <c r="I16" i="60" s="1"/>
  <c r="I5" i="61"/>
  <c r="I9" i="61" s="1"/>
  <c r="I16" i="61" s="1"/>
  <c r="EA22" i="4"/>
  <c r="EA124" i="4" s="1"/>
  <c r="EA1" i="4" s="1"/>
  <c r="ED14" i="4"/>
  <c r="L12" i="60"/>
  <c r="L14" i="60" s="1"/>
  <c r="L12" i="61"/>
  <c r="L14" i="61" s="1"/>
  <c r="O13" i="60"/>
  <c r="O13" i="61"/>
  <c r="F14" i="59"/>
  <c r="F16" i="59" s="1"/>
  <c r="FF119" i="5"/>
  <c r="FF353" i="5" s="1"/>
  <c r="FI114" i="5"/>
  <c r="FI119" i="5" s="1"/>
  <c r="E14" i="59"/>
  <c r="E27" i="59" s="1"/>
  <c r="ET350" i="5"/>
  <c r="ET355" i="5" s="1"/>
  <c r="ET1" i="5" s="1"/>
  <c r="EZ86" i="5"/>
  <c r="EW96" i="5"/>
  <c r="EZ184" i="5"/>
  <c r="EQ355" i="5"/>
  <c r="EQ1" i="5" s="1"/>
  <c r="L12" i="59"/>
  <c r="L14" i="59" s="1"/>
  <c r="EZ181" i="5"/>
  <c r="FC181" i="5" s="1"/>
  <c r="EW203" i="5"/>
  <c r="F14" i="58"/>
  <c r="F27" i="58" s="1"/>
  <c r="H12" i="56"/>
  <c r="F14" i="56"/>
  <c r="E14" i="58"/>
  <c r="E16" i="58" s="1"/>
  <c r="Z9" i="53"/>
  <c r="H5" i="56"/>
  <c r="F9" i="56"/>
  <c r="DX124" i="4"/>
  <c r="DX1" i="4" s="1"/>
  <c r="I5" i="58"/>
  <c r="I9" i="58" s="1"/>
  <c r="DY22" i="4"/>
  <c r="I5" i="59"/>
  <c r="I9" i="59" s="1"/>
  <c r="E14" i="56"/>
  <c r="E16" i="56" s="1"/>
  <c r="D6" i="57"/>
  <c r="D10" i="57" s="1"/>
  <c r="H13" i="54"/>
  <c r="C11" i="57"/>
  <c r="E14" i="54"/>
  <c r="C12" i="55"/>
  <c r="C12" i="57"/>
  <c r="H13" i="56"/>
  <c r="G13" i="56"/>
  <c r="G13" i="54"/>
  <c r="D12" i="57"/>
  <c r="D11" i="55"/>
  <c r="G12" i="54"/>
  <c r="W8" i="52"/>
  <c r="W8" i="53"/>
  <c r="W7" i="52"/>
  <c r="W7" i="53"/>
  <c r="W5" i="52"/>
  <c r="W5" i="53"/>
  <c r="W6" i="52"/>
  <c r="W6" i="53"/>
  <c r="F9" i="54"/>
  <c r="D6" i="55"/>
  <c r="D10" i="55" s="1"/>
  <c r="H5" i="54"/>
  <c r="EA100" i="5"/>
  <c r="ED100" i="5"/>
  <c r="EG99" i="5"/>
  <c r="EG100" i="5" s="1"/>
  <c r="F14" i="54"/>
  <c r="C11" i="55"/>
  <c r="H12" i="54"/>
  <c r="DM124" i="4"/>
  <c r="DM1" i="4" s="1"/>
  <c r="DZ351" i="5"/>
  <c r="EC351" i="5"/>
  <c r="EC353" i="5"/>
  <c r="Z13" i="53" s="1"/>
  <c r="EC350" i="5"/>
  <c r="Z12" i="53" s="1"/>
  <c r="DZ350" i="5"/>
  <c r="DZ353" i="5"/>
  <c r="DW353" i="5"/>
  <c r="DW350" i="5"/>
  <c r="DJ124" i="4"/>
  <c r="DJ1" i="4" s="1"/>
  <c r="DW351" i="5"/>
  <c r="U20" i="51"/>
  <c r="U23" i="51" s="1"/>
  <c r="E23" i="51"/>
  <c r="DT336" i="5"/>
  <c r="DT347" i="5"/>
  <c r="DT331" i="5"/>
  <c r="DT324" i="5"/>
  <c r="DT320" i="5"/>
  <c r="DT316" i="5"/>
  <c r="DU313" i="5"/>
  <c r="DT313" i="5"/>
  <c r="DT312" i="5"/>
  <c r="DT311" i="5"/>
  <c r="DT278" i="5"/>
  <c r="DT247" i="5"/>
  <c r="DT242" i="5"/>
  <c r="DT241" i="5"/>
  <c r="DT240" i="5"/>
  <c r="DT216" i="5"/>
  <c r="DT214" i="5"/>
  <c r="DT212" i="5"/>
  <c r="DT205" i="5"/>
  <c r="DT204" i="5"/>
  <c r="DT203" i="5"/>
  <c r="DT180" i="5"/>
  <c r="DT179" i="5"/>
  <c r="DT168" i="5"/>
  <c r="DT167" i="5"/>
  <c r="DT160" i="5"/>
  <c r="DT159" i="5"/>
  <c r="DT156" i="5"/>
  <c r="DT155" i="5"/>
  <c r="DU148" i="5"/>
  <c r="DT148" i="5"/>
  <c r="DT147" i="5"/>
  <c r="DT146" i="5"/>
  <c r="DU137" i="5"/>
  <c r="DT137" i="5"/>
  <c r="DU136" i="5"/>
  <c r="DT136" i="5"/>
  <c r="DT132" i="5"/>
  <c r="DT131" i="5"/>
  <c r="DT119" i="5"/>
  <c r="DT118" i="5"/>
  <c r="DT117" i="5"/>
  <c r="DT103" i="5"/>
  <c r="DT97" i="5"/>
  <c r="DT96" i="5"/>
  <c r="DU85" i="5"/>
  <c r="DT85" i="5"/>
  <c r="DT84" i="5"/>
  <c r="DT70" i="5"/>
  <c r="DT43" i="5"/>
  <c r="DT37" i="5"/>
  <c r="DT31" i="5"/>
  <c r="DT25" i="5"/>
  <c r="DT24" i="5"/>
  <c r="DT23" i="5"/>
  <c r="DT8" i="5"/>
  <c r="DG122" i="4"/>
  <c r="T6" i="53" s="1"/>
  <c r="DH56" i="4"/>
  <c r="DK56" i="4" s="1"/>
  <c r="DN56" i="4" s="1"/>
  <c r="DQ56" i="4" s="1"/>
  <c r="DG126" i="4"/>
  <c r="DG99" i="4"/>
  <c r="T7" i="53" s="1"/>
  <c r="DG35" i="4"/>
  <c r="T8" i="53" s="1"/>
  <c r="DG22" i="4"/>
  <c r="T23" i="51"/>
  <c r="Q23" i="51"/>
  <c r="N23" i="51"/>
  <c r="L23" i="51"/>
  <c r="K23" i="51"/>
  <c r="I23" i="51"/>
  <c r="H23" i="51"/>
  <c r="F23" i="51"/>
  <c r="D23" i="51"/>
  <c r="C23" i="51"/>
  <c r="O20" i="51"/>
  <c r="R20" i="51" s="1"/>
  <c r="R23" i="51" s="1"/>
  <c r="DR112" i="5"/>
  <c r="DU112" i="5" s="1"/>
  <c r="DX112" i="5" s="1"/>
  <c r="EA112" i="5" s="1"/>
  <c r="ED112" i="5" s="1"/>
  <c r="EG112" i="5" s="1"/>
  <c r="DD122" i="4"/>
  <c r="Q6" i="53" s="1"/>
  <c r="DE77" i="4"/>
  <c r="DH77" i="4" s="1"/>
  <c r="DK77" i="4" s="1"/>
  <c r="DN77" i="4" s="1"/>
  <c r="DQ77" i="4" s="1"/>
  <c r="DE55" i="4"/>
  <c r="DH55" i="4" s="1"/>
  <c r="DK55" i="4" s="1"/>
  <c r="DN55" i="4" s="1"/>
  <c r="DQ55" i="4" s="1"/>
  <c r="DD126" i="4"/>
  <c r="DD99" i="4"/>
  <c r="Q7" i="53" s="1"/>
  <c r="DD35" i="4"/>
  <c r="Q8" i="53" s="1"/>
  <c r="DD22" i="4"/>
  <c r="Q5" i="53" s="1"/>
  <c r="Q23" i="50"/>
  <c r="N23" i="50"/>
  <c r="L23" i="50"/>
  <c r="K23" i="50"/>
  <c r="I23" i="50"/>
  <c r="H23" i="50"/>
  <c r="F23" i="50"/>
  <c r="E23" i="50"/>
  <c r="D23" i="50"/>
  <c r="C23" i="50"/>
  <c r="O20" i="50"/>
  <c r="O23" i="50" s="1"/>
  <c r="DQ180" i="5"/>
  <c r="DR173" i="5"/>
  <c r="DU173" i="5" s="1"/>
  <c r="DX173" i="5" s="1"/>
  <c r="EA173" i="5" s="1"/>
  <c r="ED173" i="5" s="1"/>
  <c r="EG173" i="5" s="1"/>
  <c r="DQ347" i="5"/>
  <c r="DQ336" i="5"/>
  <c r="DQ331" i="5"/>
  <c r="DQ324" i="5"/>
  <c r="DQ320" i="5"/>
  <c r="DQ316" i="5"/>
  <c r="DR313" i="5"/>
  <c r="DQ313" i="5"/>
  <c r="DQ312" i="5"/>
  <c r="DQ311" i="5"/>
  <c r="DQ278" i="5"/>
  <c r="DQ247" i="5"/>
  <c r="DQ242" i="5"/>
  <c r="DQ241" i="5"/>
  <c r="DQ240" i="5"/>
  <c r="DQ216" i="5"/>
  <c r="DQ214" i="5"/>
  <c r="DQ212" i="5"/>
  <c r="DQ205" i="5"/>
  <c r="DQ204" i="5"/>
  <c r="DQ203" i="5"/>
  <c r="DQ179" i="5"/>
  <c r="DQ168" i="5"/>
  <c r="DQ167" i="5"/>
  <c r="DQ160" i="5"/>
  <c r="DQ159" i="5"/>
  <c r="DQ156" i="5"/>
  <c r="DQ155" i="5"/>
  <c r="DR148" i="5"/>
  <c r="DQ148" i="5"/>
  <c r="DQ147" i="5"/>
  <c r="DQ146" i="5"/>
  <c r="DR137" i="5"/>
  <c r="DQ137" i="5"/>
  <c r="DR136" i="5"/>
  <c r="DQ136" i="5"/>
  <c r="DQ132" i="5"/>
  <c r="DQ131" i="5"/>
  <c r="DQ119" i="5"/>
  <c r="DQ118" i="5"/>
  <c r="DQ117" i="5"/>
  <c r="DQ103" i="5"/>
  <c r="DQ97" i="5"/>
  <c r="DQ96" i="5"/>
  <c r="DR85" i="5"/>
  <c r="DQ85" i="5"/>
  <c r="DQ84" i="5"/>
  <c r="DQ70" i="5"/>
  <c r="DQ43" i="5"/>
  <c r="DQ37" i="5"/>
  <c r="DQ31" i="5"/>
  <c r="DQ25" i="5"/>
  <c r="DQ24" i="5"/>
  <c r="DQ23" i="5"/>
  <c r="DQ8" i="5"/>
  <c r="DN347" i="5"/>
  <c r="DO341" i="5"/>
  <c r="DR341" i="5" s="1"/>
  <c r="DU341" i="5" s="1"/>
  <c r="DX341" i="5" s="1"/>
  <c r="EA341" i="5" s="1"/>
  <c r="ED341" i="5" s="1"/>
  <c r="EG341" i="5" s="1"/>
  <c r="DN23" i="5"/>
  <c r="DO11" i="5"/>
  <c r="DR11" i="5" s="1"/>
  <c r="DU11" i="5" s="1"/>
  <c r="DX11" i="5" s="1"/>
  <c r="EA11" i="5" s="1"/>
  <c r="ED11" i="5" s="1"/>
  <c r="EG11" i="5" s="1"/>
  <c r="DN336" i="5"/>
  <c r="DN331" i="5"/>
  <c r="DN324" i="5"/>
  <c r="DN320" i="5"/>
  <c r="DN316" i="5"/>
  <c r="DO313" i="5"/>
  <c r="DN313" i="5"/>
  <c r="DN312" i="5"/>
  <c r="DN311" i="5"/>
  <c r="DN278" i="5"/>
  <c r="DN247" i="5"/>
  <c r="DN242" i="5"/>
  <c r="DN241" i="5"/>
  <c r="DN240" i="5"/>
  <c r="DN216" i="5"/>
  <c r="DN214" i="5"/>
  <c r="DN212" i="5"/>
  <c r="DN205" i="5"/>
  <c r="DN204" i="5"/>
  <c r="DN203" i="5"/>
  <c r="DN180" i="5"/>
  <c r="DN179" i="5"/>
  <c r="DN168" i="5"/>
  <c r="DN167" i="5"/>
  <c r="DN160" i="5"/>
  <c r="DN159" i="5"/>
  <c r="DN156" i="5"/>
  <c r="DN155" i="5"/>
  <c r="DO148" i="5"/>
  <c r="DN148" i="5"/>
  <c r="DN147" i="5"/>
  <c r="DN146" i="5"/>
  <c r="DO137" i="5"/>
  <c r="DN137" i="5"/>
  <c r="DO136" i="5"/>
  <c r="DN136" i="5"/>
  <c r="DN132" i="5"/>
  <c r="DN131" i="5"/>
  <c r="DN119" i="5"/>
  <c r="DN118" i="5"/>
  <c r="DN117" i="5"/>
  <c r="DN103" i="5"/>
  <c r="DN97" i="5"/>
  <c r="DN96" i="5"/>
  <c r="DO85" i="5"/>
  <c r="DN85" i="5"/>
  <c r="DN84" i="5"/>
  <c r="DN70" i="5"/>
  <c r="DN43" i="5"/>
  <c r="DN37" i="5"/>
  <c r="DN31" i="5"/>
  <c r="DN25" i="5"/>
  <c r="DN24" i="5"/>
  <c r="DN8" i="5"/>
  <c r="N23" i="49"/>
  <c r="L23" i="49"/>
  <c r="K23" i="49"/>
  <c r="I23" i="49"/>
  <c r="H23" i="49"/>
  <c r="F23" i="49"/>
  <c r="E23" i="49"/>
  <c r="D23" i="49"/>
  <c r="C23" i="49"/>
  <c r="O20" i="49"/>
  <c r="O23" i="49" s="1"/>
  <c r="O20" i="48"/>
  <c r="O23" i="48" s="1"/>
  <c r="DK114" i="5"/>
  <c r="DL114" i="5" s="1"/>
  <c r="DK240" i="5"/>
  <c r="DL234" i="5"/>
  <c r="DO234" i="5" s="1"/>
  <c r="DR234" i="5" s="1"/>
  <c r="DU234" i="5" s="1"/>
  <c r="DX234" i="5" s="1"/>
  <c r="EA234" i="5" s="1"/>
  <c r="ED234" i="5" s="1"/>
  <c r="EG234" i="5" s="1"/>
  <c r="DA122" i="4"/>
  <c r="N6" i="53" s="1"/>
  <c r="DB85" i="4"/>
  <c r="DE85" i="4" s="1"/>
  <c r="DH85" i="4" s="1"/>
  <c r="DK85" i="4" s="1"/>
  <c r="DN85" i="4" s="1"/>
  <c r="DQ85" i="4" s="1"/>
  <c r="N23" i="48"/>
  <c r="L23" i="48"/>
  <c r="K23" i="48"/>
  <c r="I23" i="48"/>
  <c r="H23" i="48"/>
  <c r="F23" i="48"/>
  <c r="E23" i="48"/>
  <c r="D23" i="48"/>
  <c r="C23" i="48"/>
  <c r="DK347" i="5"/>
  <c r="DK336" i="5"/>
  <c r="DK331" i="5"/>
  <c r="DK324" i="5"/>
  <c r="DK320" i="5"/>
  <c r="DK316" i="5"/>
  <c r="DL313" i="5"/>
  <c r="DK313" i="5"/>
  <c r="DK312" i="5"/>
  <c r="DK311" i="5"/>
  <c r="DK278" i="5"/>
  <c r="DK247" i="5"/>
  <c r="DK242" i="5"/>
  <c r="DK241" i="5"/>
  <c r="DK216" i="5"/>
  <c r="DK214" i="5"/>
  <c r="DK212" i="5"/>
  <c r="DK205" i="5"/>
  <c r="DK204" i="5"/>
  <c r="DK203" i="5"/>
  <c r="DK180" i="5"/>
  <c r="DK179" i="5"/>
  <c r="DK168" i="5"/>
  <c r="DK167" i="5"/>
  <c r="DK160" i="5"/>
  <c r="DK159" i="5"/>
  <c r="DK156" i="5"/>
  <c r="DK155" i="5"/>
  <c r="DL148" i="5"/>
  <c r="DK148" i="5"/>
  <c r="DK147" i="5"/>
  <c r="DK146" i="5"/>
  <c r="DL137" i="5"/>
  <c r="DK137" i="5"/>
  <c r="DL136" i="5"/>
  <c r="DK136" i="5"/>
  <c r="DK132" i="5"/>
  <c r="DK131" i="5"/>
  <c r="DK118" i="5"/>
  <c r="DK117" i="5"/>
  <c r="DK103" i="5"/>
  <c r="DK97" i="5"/>
  <c r="DK96" i="5"/>
  <c r="DL85" i="5"/>
  <c r="DK85" i="5"/>
  <c r="DK84" i="5"/>
  <c r="DK70" i="5"/>
  <c r="DK43" i="5"/>
  <c r="DK37" i="5"/>
  <c r="DK31" i="5"/>
  <c r="DK25" i="5"/>
  <c r="DK24" i="5"/>
  <c r="DK23" i="5"/>
  <c r="DK8" i="5"/>
  <c r="DA126" i="4"/>
  <c r="DA99" i="4"/>
  <c r="N7" i="53" s="1"/>
  <c r="DA35" i="4"/>
  <c r="N8" i="53" s="1"/>
  <c r="DA22" i="4"/>
  <c r="N5" i="53" s="1"/>
  <c r="CX122" i="4"/>
  <c r="K6" i="53" s="1"/>
  <c r="CX99" i="4"/>
  <c r="K7" i="53" s="1"/>
  <c r="L23" i="47"/>
  <c r="K23" i="47"/>
  <c r="I23" i="47"/>
  <c r="H23" i="47"/>
  <c r="F23" i="47"/>
  <c r="E23" i="47"/>
  <c r="D23" i="47"/>
  <c r="C23" i="47"/>
  <c r="CU122" i="4"/>
  <c r="H6" i="53" s="1"/>
  <c r="CU99" i="4"/>
  <c r="H7" i="53" s="1"/>
  <c r="I23" i="46"/>
  <c r="H23" i="46"/>
  <c r="C16" i="67" l="1"/>
  <c r="C16" i="68"/>
  <c r="E16" i="61"/>
  <c r="FC184" i="5"/>
  <c r="FC203" i="5" s="1"/>
  <c r="EZ357" i="5"/>
  <c r="FO311" i="5"/>
  <c r="C17" i="62"/>
  <c r="F16" i="61"/>
  <c r="I27" i="60"/>
  <c r="E27" i="60"/>
  <c r="FO351" i="5"/>
  <c r="L5" i="59"/>
  <c r="L9" i="59" s="1"/>
  <c r="L16" i="59" s="1"/>
  <c r="D13" i="55"/>
  <c r="D17" i="55" s="1"/>
  <c r="I27" i="61"/>
  <c r="D13" i="57"/>
  <c r="D17" i="57" s="1"/>
  <c r="E16" i="63"/>
  <c r="FF181" i="5"/>
  <c r="F27" i="60"/>
  <c r="FI353" i="5"/>
  <c r="FL114" i="5"/>
  <c r="E16" i="59"/>
  <c r="ED22" i="4"/>
  <c r="EG14" i="4"/>
  <c r="EG22" i="4" s="1"/>
  <c r="D5" i="69" s="1"/>
  <c r="D9" i="69" s="1"/>
  <c r="L5" i="61"/>
  <c r="L9" i="61" s="1"/>
  <c r="L16" i="61" s="1"/>
  <c r="L5" i="60"/>
  <c r="L9" i="60" s="1"/>
  <c r="F27" i="59"/>
  <c r="EZ96" i="5"/>
  <c r="FC86" i="5"/>
  <c r="F16" i="56"/>
  <c r="F16" i="58"/>
  <c r="EZ203" i="5"/>
  <c r="EW350" i="5"/>
  <c r="EW355" i="5" s="1"/>
  <c r="EW1" i="5" s="1"/>
  <c r="G14" i="56"/>
  <c r="E27" i="58"/>
  <c r="H14" i="56"/>
  <c r="F27" i="56"/>
  <c r="E27" i="56"/>
  <c r="I27" i="59"/>
  <c r="I16" i="59"/>
  <c r="I27" i="58"/>
  <c r="I16" i="58"/>
  <c r="H9" i="56"/>
  <c r="W9" i="52"/>
  <c r="C13" i="55"/>
  <c r="C17" i="55" s="1"/>
  <c r="C13" i="57"/>
  <c r="C17" i="57" s="1"/>
  <c r="Q9" i="53"/>
  <c r="N9" i="53"/>
  <c r="W9" i="53"/>
  <c r="H9" i="54"/>
  <c r="T5" i="52"/>
  <c r="T5" i="53"/>
  <c r="T9" i="53" s="1"/>
  <c r="Z14" i="53"/>
  <c r="Z16" i="53" s="1"/>
  <c r="W12" i="52"/>
  <c r="W12" i="53"/>
  <c r="W13" i="52"/>
  <c r="W13" i="53"/>
  <c r="F27" i="54"/>
  <c r="F16" i="54"/>
  <c r="E27" i="54"/>
  <c r="E16" i="54"/>
  <c r="H14" i="54"/>
  <c r="Q5" i="50"/>
  <c r="Q5" i="52"/>
  <c r="K6" i="47"/>
  <c r="K6" i="52"/>
  <c r="Q8" i="50"/>
  <c r="Q8" i="52"/>
  <c r="H7" i="46"/>
  <c r="H7" i="52"/>
  <c r="N5" i="48"/>
  <c r="N5" i="52"/>
  <c r="Q7" i="50"/>
  <c r="Q7" i="52"/>
  <c r="T6" i="51"/>
  <c r="T6" i="52"/>
  <c r="N6" i="49"/>
  <c r="N6" i="52"/>
  <c r="N7" i="50"/>
  <c r="N7" i="52"/>
  <c r="H6" i="46"/>
  <c r="H6" i="52"/>
  <c r="Q6" i="50"/>
  <c r="Q6" i="52"/>
  <c r="N8" i="48"/>
  <c r="N8" i="52"/>
  <c r="T7" i="51"/>
  <c r="T7" i="52"/>
  <c r="H7" i="51"/>
  <c r="K7" i="47"/>
  <c r="K7" i="52"/>
  <c r="K7" i="51"/>
  <c r="T8" i="51"/>
  <c r="T8" i="52"/>
  <c r="EC355" i="5"/>
  <c r="EC1" i="5" s="1"/>
  <c r="DZ355" i="5"/>
  <c r="DZ1" i="5" s="1"/>
  <c r="DW355" i="5"/>
  <c r="DW1" i="5" s="1"/>
  <c r="O23" i="51"/>
  <c r="R20" i="50"/>
  <c r="R23" i="50" s="1"/>
  <c r="DT353" i="5"/>
  <c r="T13" i="53" s="1"/>
  <c r="DT351" i="5"/>
  <c r="DT350" i="5"/>
  <c r="T12" i="53" s="1"/>
  <c r="N5" i="51"/>
  <c r="N6" i="51"/>
  <c r="N7" i="51"/>
  <c r="N8" i="51"/>
  <c r="K6" i="51"/>
  <c r="Q5" i="51"/>
  <c r="Q6" i="51"/>
  <c r="Q7" i="51"/>
  <c r="Q8" i="51"/>
  <c r="H6" i="51"/>
  <c r="DG124" i="4"/>
  <c r="DG1" i="4" s="1"/>
  <c r="T5" i="51"/>
  <c r="N5" i="50"/>
  <c r="N6" i="50"/>
  <c r="N6" i="48"/>
  <c r="N5" i="49"/>
  <c r="H7" i="49"/>
  <c r="H7" i="50"/>
  <c r="N7" i="48"/>
  <c r="H6" i="49"/>
  <c r="K7" i="49"/>
  <c r="N8" i="49"/>
  <c r="H6" i="50"/>
  <c r="K7" i="50"/>
  <c r="N8" i="50"/>
  <c r="K6" i="49"/>
  <c r="N7" i="49"/>
  <c r="K6" i="50"/>
  <c r="DD124" i="4"/>
  <c r="DD1" i="4" s="1"/>
  <c r="DQ353" i="5"/>
  <c r="DQ351" i="5"/>
  <c r="DQ350" i="5"/>
  <c r="DN351" i="5"/>
  <c r="DN353" i="5"/>
  <c r="DO114" i="5"/>
  <c r="DR114" i="5" s="1"/>
  <c r="DU114" i="5" s="1"/>
  <c r="DX114" i="5" s="1"/>
  <c r="EA114" i="5" s="1"/>
  <c r="ED114" i="5" s="1"/>
  <c r="EG114" i="5" s="1"/>
  <c r="DK119" i="5"/>
  <c r="DK353" i="5" s="1"/>
  <c r="N13" i="53" s="1"/>
  <c r="DN350" i="5"/>
  <c r="K7" i="48"/>
  <c r="H6" i="48"/>
  <c r="K6" i="48"/>
  <c r="H7" i="48"/>
  <c r="DK351" i="5"/>
  <c r="DK350" i="5"/>
  <c r="N12" i="53" s="1"/>
  <c r="DA124" i="4"/>
  <c r="DA1" i="4" s="1"/>
  <c r="H6" i="47"/>
  <c r="H7" i="47"/>
  <c r="D29" i="69" l="1"/>
  <c r="D16" i="69"/>
  <c r="D5" i="68"/>
  <c r="D9" i="68" s="1"/>
  <c r="D5" i="67"/>
  <c r="D9" i="67" s="1"/>
  <c r="G5" i="63"/>
  <c r="D5" i="66"/>
  <c r="D9" i="66" s="1"/>
  <c r="FF184" i="5"/>
  <c r="FC357" i="5"/>
  <c r="L27" i="59"/>
  <c r="FI181" i="5"/>
  <c r="FL181" i="5" s="1"/>
  <c r="L27" i="61"/>
  <c r="FL119" i="5"/>
  <c r="FL353" i="5" s="1"/>
  <c r="R13" i="61" s="1"/>
  <c r="FO114" i="5"/>
  <c r="FO119" i="5" s="1"/>
  <c r="FO353" i="5" s="1"/>
  <c r="G13" i="63" s="1"/>
  <c r="FC96" i="5"/>
  <c r="FC350" i="5" s="1"/>
  <c r="L27" i="60"/>
  <c r="L16" i="60"/>
  <c r="R5" i="61"/>
  <c r="R9" i="61" s="1"/>
  <c r="EG124" i="4"/>
  <c r="EG1" i="4" s="1"/>
  <c r="O5" i="60"/>
  <c r="O9" i="60" s="1"/>
  <c r="O5" i="61"/>
  <c r="O9" i="61" s="1"/>
  <c r="ED124" i="4"/>
  <c r="ED1" i="4" s="1"/>
  <c r="FF86" i="5"/>
  <c r="FI86" i="5" s="1"/>
  <c r="FL86" i="5" s="1"/>
  <c r="FO86" i="5" s="1"/>
  <c r="FO96" i="5" s="1"/>
  <c r="EZ350" i="5"/>
  <c r="EZ355" i="5" s="1"/>
  <c r="EZ1" i="5" s="1"/>
  <c r="Z25" i="53"/>
  <c r="Q9" i="50"/>
  <c r="N9" i="48"/>
  <c r="T9" i="52"/>
  <c r="N9" i="50"/>
  <c r="W14" i="52"/>
  <c r="W25" i="52" s="1"/>
  <c r="W14" i="53"/>
  <c r="W16" i="53" s="1"/>
  <c r="T14" i="53"/>
  <c r="T25" i="53" s="1"/>
  <c r="Q12" i="52"/>
  <c r="Q12" i="53"/>
  <c r="N14" i="53"/>
  <c r="Q13" i="52"/>
  <c r="Q13" i="53"/>
  <c r="N9" i="52"/>
  <c r="T9" i="51"/>
  <c r="Q9" i="52"/>
  <c r="T12" i="51"/>
  <c r="T12" i="52"/>
  <c r="N12" i="51"/>
  <c r="N12" i="52"/>
  <c r="T13" i="51"/>
  <c r="T13" i="52"/>
  <c r="N13" i="51"/>
  <c r="N13" i="52"/>
  <c r="Q13" i="50"/>
  <c r="Q13" i="51"/>
  <c r="Q12" i="50"/>
  <c r="Q12" i="51"/>
  <c r="DT355" i="5"/>
  <c r="DT1" i="5" s="1"/>
  <c r="Q9" i="51"/>
  <c r="N9" i="51"/>
  <c r="N9" i="49"/>
  <c r="N12" i="49"/>
  <c r="N12" i="50"/>
  <c r="N13" i="49"/>
  <c r="N13" i="50"/>
  <c r="DQ355" i="5"/>
  <c r="DQ1" i="5" s="1"/>
  <c r="N13" i="48"/>
  <c r="DN355" i="5"/>
  <c r="DN1" i="5" s="1"/>
  <c r="DK355" i="5"/>
  <c r="DK1" i="5" s="1"/>
  <c r="N12" i="48"/>
  <c r="F23" i="46"/>
  <c r="E23" i="46"/>
  <c r="D23" i="46"/>
  <c r="C23" i="46"/>
  <c r="DI79" i="5"/>
  <c r="DL79" i="5" s="1"/>
  <c r="DO79" i="5" s="1"/>
  <c r="DR79" i="5" s="1"/>
  <c r="DU79" i="5" s="1"/>
  <c r="DX79" i="5" s="1"/>
  <c r="EA79" i="5" s="1"/>
  <c r="ED79" i="5" s="1"/>
  <c r="EG79" i="5" s="1"/>
  <c r="DH347" i="5"/>
  <c r="DH336" i="5"/>
  <c r="DH331" i="5"/>
  <c r="DH324" i="5"/>
  <c r="DH320" i="5"/>
  <c r="DH316" i="5"/>
  <c r="DI313" i="5"/>
  <c r="DH313" i="5"/>
  <c r="DH312" i="5"/>
  <c r="DH311" i="5"/>
  <c r="DH278" i="5"/>
  <c r="DH247" i="5"/>
  <c r="DH242" i="5"/>
  <c r="DH241" i="5"/>
  <c r="DH240" i="5"/>
  <c r="DH216" i="5"/>
  <c r="DH214" i="5"/>
  <c r="DH212" i="5"/>
  <c r="DH205" i="5"/>
  <c r="DH204" i="5"/>
  <c r="DH203" i="5"/>
  <c r="DH180" i="5"/>
  <c r="DH179" i="5"/>
  <c r="DH168" i="5"/>
  <c r="DH167" i="5"/>
  <c r="DH160" i="5"/>
  <c r="DH159" i="5"/>
  <c r="DH156" i="5"/>
  <c r="DH155" i="5"/>
  <c r="DI148" i="5"/>
  <c r="DH148" i="5"/>
  <c r="DH147" i="5"/>
  <c r="DH146" i="5"/>
  <c r="DI137" i="5"/>
  <c r="DH137" i="5"/>
  <c r="DI136" i="5"/>
  <c r="DH136" i="5"/>
  <c r="DH132" i="5"/>
  <c r="DH131" i="5"/>
  <c r="DH119" i="5"/>
  <c r="DH118" i="5"/>
  <c r="DH117" i="5"/>
  <c r="DH103" i="5"/>
  <c r="DH97" i="5"/>
  <c r="DH96" i="5"/>
  <c r="DI85" i="5"/>
  <c r="DH85" i="5"/>
  <c r="DH84" i="5"/>
  <c r="DH70" i="5"/>
  <c r="DH43" i="5"/>
  <c r="DH37" i="5"/>
  <c r="DH31" i="5"/>
  <c r="DH25" i="5"/>
  <c r="DH24" i="5"/>
  <c r="DH23" i="5"/>
  <c r="DH8" i="5"/>
  <c r="CY26" i="4"/>
  <c r="DB26" i="4" s="1"/>
  <c r="DE26" i="4" s="1"/>
  <c r="DH26" i="4" s="1"/>
  <c r="DK26" i="4" s="1"/>
  <c r="DN26" i="4" s="1"/>
  <c r="DQ26" i="4" s="1"/>
  <c r="CX126" i="4"/>
  <c r="CX35" i="4"/>
  <c r="K8" i="53" s="1"/>
  <c r="CX22" i="4"/>
  <c r="K5" i="53" s="1"/>
  <c r="DC316" i="5"/>
  <c r="DA316" i="5"/>
  <c r="DE214" i="5"/>
  <c r="DF152" i="5"/>
  <c r="DI152" i="5" s="1"/>
  <c r="DL152" i="5" s="1"/>
  <c r="DO152" i="5" s="1"/>
  <c r="DR152" i="5" s="1"/>
  <c r="DU152" i="5" s="1"/>
  <c r="DX152" i="5" s="1"/>
  <c r="EA152" i="5" s="1"/>
  <c r="ED152" i="5" s="1"/>
  <c r="EG152" i="5" s="1"/>
  <c r="DF85" i="5"/>
  <c r="DE85" i="5"/>
  <c r="D29" i="67" l="1"/>
  <c r="D16" i="67"/>
  <c r="D29" i="68"/>
  <c r="D16" i="68"/>
  <c r="D9" i="63"/>
  <c r="D29" i="66"/>
  <c r="D16" i="66"/>
  <c r="FI184" i="5"/>
  <c r="FI203" i="5" s="1"/>
  <c r="FF357" i="5"/>
  <c r="FF203" i="5"/>
  <c r="FO181" i="5"/>
  <c r="FL96" i="5"/>
  <c r="FC355" i="5"/>
  <c r="FC1" i="5" s="1"/>
  <c r="O12" i="61"/>
  <c r="O14" i="61" s="1"/>
  <c r="FI96" i="5"/>
  <c r="O12" i="60"/>
  <c r="O14" i="60" s="1"/>
  <c r="O16" i="60" s="1"/>
  <c r="FF96" i="5"/>
  <c r="K9" i="53"/>
  <c r="W16" i="52"/>
  <c r="W25" i="53"/>
  <c r="Q14" i="52"/>
  <c r="Q25" i="52" s="1"/>
  <c r="T16" i="53"/>
  <c r="N25" i="53"/>
  <c r="N16" i="53"/>
  <c r="Q14" i="53"/>
  <c r="K5" i="51"/>
  <c r="K5" i="52"/>
  <c r="K8" i="51"/>
  <c r="K8" i="52"/>
  <c r="T14" i="51"/>
  <c r="T16" i="51" s="1"/>
  <c r="N14" i="51"/>
  <c r="N25" i="51" s="1"/>
  <c r="N14" i="52"/>
  <c r="T14" i="52"/>
  <c r="Q14" i="51"/>
  <c r="Q16" i="51" s="1"/>
  <c r="Q14" i="50"/>
  <c r="Q16" i="50" s="1"/>
  <c r="N14" i="49"/>
  <c r="N16" i="49" s="1"/>
  <c r="K8" i="50"/>
  <c r="K8" i="49"/>
  <c r="K5" i="49"/>
  <c r="K5" i="50"/>
  <c r="N14" i="50"/>
  <c r="N25" i="50" s="1"/>
  <c r="N14" i="48"/>
  <c r="N25" i="48" s="1"/>
  <c r="K5" i="47"/>
  <c r="K5" i="48"/>
  <c r="K8" i="47"/>
  <c r="K8" i="48"/>
  <c r="DH351" i="5"/>
  <c r="DH353" i="5"/>
  <c r="K13" i="53" s="1"/>
  <c r="DH350" i="5"/>
  <c r="CX124" i="4"/>
  <c r="CX1" i="4" s="1"/>
  <c r="FL184" i="5" l="1"/>
  <c r="FI357" i="5"/>
  <c r="FF350" i="5"/>
  <c r="FF355" i="5" s="1"/>
  <c r="FF1" i="5" s="1"/>
  <c r="FI350" i="5"/>
  <c r="FI355" i="5" s="1"/>
  <c r="FI1" i="5" s="1"/>
  <c r="O16" i="61"/>
  <c r="O27" i="61"/>
  <c r="O27" i="60"/>
  <c r="Q16" i="52"/>
  <c r="K12" i="52"/>
  <c r="K12" i="53"/>
  <c r="K14" i="53" s="1"/>
  <c r="Q16" i="53"/>
  <c r="Q25" i="53"/>
  <c r="K9" i="52"/>
  <c r="K9" i="51"/>
  <c r="T25" i="51"/>
  <c r="N16" i="51"/>
  <c r="K13" i="51"/>
  <c r="K13" i="52"/>
  <c r="T16" i="52"/>
  <c r="T25" i="52"/>
  <c r="N16" i="52"/>
  <c r="N25" i="52"/>
  <c r="Q25" i="51"/>
  <c r="Q25" i="50"/>
  <c r="K12" i="50"/>
  <c r="K12" i="51"/>
  <c r="K9" i="50"/>
  <c r="K9" i="49"/>
  <c r="N25" i="49"/>
  <c r="K9" i="47"/>
  <c r="N16" i="50"/>
  <c r="K13" i="49"/>
  <c r="K13" i="50"/>
  <c r="N16" i="48"/>
  <c r="K12" i="48"/>
  <c r="K12" i="49"/>
  <c r="K13" i="47"/>
  <c r="K13" i="48"/>
  <c r="K9" i="48"/>
  <c r="DH355" i="5"/>
  <c r="DH1" i="5" s="1"/>
  <c r="K12" i="47"/>
  <c r="DF340" i="5"/>
  <c r="DI340" i="5" s="1"/>
  <c r="DL340" i="5" s="1"/>
  <c r="DO340" i="5" s="1"/>
  <c r="DR340" i="5" s="1"/>
  <c r="DU340" i="5" s="1"/>
  <c r="DX340" i="5" s="1"/>
  <c r="EA340" i="5" s="1"/>
  <c r="ED340" i="5" s="1"/>
  <c r="EG340" i="5" s="1"/>
  <c r="DE347" i="5"/>
  <c r="DE316" i="5"/>
  <c r="DF314" i="5"/>
  <c r="DF316" i="5" s="1"/>
  <c r="DE278" i="5"/>
  <c r="DF276" i="5"/>
  <c r="DI276" i="5" s="1"/>
  <c r="DL276" i="5" s="1"/>
  <c r="DO276" i="5" s="1"/>
  <c r="DR276" i="5" s="1"/>
  <c r="DU276" i="5" s="1"/>
  <c r="DX276" i="5" s="1"/>
  <c r="EA276" i="5" s="1"/>
  <c r="ED276" i="5" s="1"/>
  <c r="EG276" i="5" s="1"/>
  <c r="DF275" i="5"/>
  <c r="DI275" i="5" s="1"/>
  <c r="DL275" i="5" s="1"/>
  <c r="DO275" i="5" s="1"/>
  <c r="DR275" i="5" s="1"/>
  <c r="DU275" i="5" s="1"/>
  <c r="DX275" i="5" s="1"/>
  <c r="EA275" i="5" s="1"/>
  <c r="ED275" i="5" s="1"/>
  <c r="EG275" i="5" s="1"/>
  <c r="DF274" i="5"/>
  <c r="DI274" i="5" s="1"/>
  <c r="DL274" i="5" s="1"/>
  <c r="DO274" i="5" s="1"/>
  <c r="DR274" i="5" s="1"/>
  <c r="DU274" i="5" s="1"/>
  <c r="DX274" i="5" s="1"/>
  <c r="EA274" i="5" s="1"/>
  <c r="ED274" i="5" s="1"/>
  <c r="EG274" i="5" s="1"/>
  <c r="DF273" i="5"/>
  <c r="DI273" i="5" s="1"/>
  <c r="DL273" i="5" s="1"/>
  <c r="DO273" i="5" s="1"/>
  <c r="DR273" i="5" s="1"/>
  <c r="DU273" i="5" s="1"/>
  <c r="DX273" i="5" s="1"/>
  <c r="EA273" i="5" s="1"/>
  <c r="ED273" i="5" s="1"/>
  <c r="EG273" i="5" s="1"/>
  <c r="DF272" i="5"/>
  <c r="DI272" i="5" s="1"/>
  <c r="DF213" i="5"/>
  <c r="DI213" i="5" s="1"/>
  <c r="DE205" i="5"/>
  <c r="DF200" i="5"/>
  <c r="DI200" i="5" s="1"/>
  <c r="DL200" i="5" s="1"/>
  <c r="DO200" i="5" s="1"/>
  <c r="DR200" i="5" s="1"/>
  <c r="DU200" i="5" s="1"/>
  <c r="DX200" i="5" s="1"/>
  <c r="EA200" i="5" s="1"/>
  <c r="ED200" i="5" s="1"/>
  <c r="EG200" i="5" s="1"/>
  <c r="DE159" i="5"/>
  <c r="DF158" i="5"/>
  <c r="DI158" i="5" s="1"/>
  <c r="DE119" i="5"/>
  <c r="DF115" i="5"/>
  <c r="DI115" i="5" s="1"/>
  <c r="DE37" i="5"/>
  <c r="DC37" i="5"/>
  <c r="DF34" i="5"/>
  <c r="DI34" i="5" s="1"/>
  <c r="DL34" i="5" s="1"/>
  <c r="DO34" i="5" s="1"/>
  <c r="DR34" i="5" s="1"/>
  <c r="DU34" i="5" s="1"/>
  <c r="DX34" i="5" s="1"/>
  <c r="EA34" i="5" s="1"/>
  <c r="ED34" i="5" s="1"/>
  <c r="EG34" i="5" s="1"/>
  <c r="DF33" i="5"/>
  <c r="DI33" i="5" s="1"/>
  <c r="DL33" i="5" s="1"/>
  <c r="DO33" i="5" s="1"/>
  <c r="DR33" i="5" s="1"/>
  <c r="DU33" i="5" s="1"/>
  <c r="DX33" i="5" s="1"/>
  <c r="EA33" i="5" s="1"/>
  <c r="ED33" i="5" s="1"/>
  <c r="EG33" i="5" s="1"/>
  <c r="DF18" i="5"/>
  <c r="DI18" i="5" s="1"/>
  <c r="DL18" i="5" s="1"/>
  <c r="DO18" i="5" s="1"/>
  <c r="DR18" i="5" s="1"/>
  <c r="DU18" i="5" s="1"/>
  <c r="DX18" i="5" s="1"/>
  <c r="EA18" i="5" s="1"/>
  <c r="ED18" i="5" s="1"/>
  <c r="EG18" i="5" s="1"/>
  <c r="DF13" i="5"/>
  <c r="DI13" i="5" s="1"/>
  <c r="DF344" i="5"/>
  <c r="DI344" i="5" s="1"/>
  <c r="DL344" i="5" s="1"/>
  <c r="DO344" i="5" s="1"/>
  <c r="DR344" i="5" s="1"/>
  <c r="DU344" i="5" s="1"/>
  <c r="DX344" i="5" s="1"/>
  <c r="EA344" i="5" s="1"/>
  <c r="ED344" i="5" s="1"/>
  <c r="EG344" i="5" s="1"/>
  <c r="DF343" i="5"/>
  <c r="DI343" i="5" s="1"/>
  <c r="DL343" i="5" s="1"/>
  <c r="DO343" i="5" s="1"/>
  <c r="DR343" i="5" s="1"/>
  <c r="DU343" i="5" s="1"/>
  <c r="DX343" i="5" s="1"/>
  <c r="EA343" i="5" s="1"/>
  <c r="ED343" i="5" s="1"/>
  <c r="EG343" i="5" s="1"/>
  <c r="DF342" i="5"/>
  <c r="DI342" i="5" s="1"/>
  <c r="DL342" i="5" s="1"/>
  <c r="DO342" i="5" s="1"/>
  <c r="DR342" i="5" s="1"/>
  <c r="DU342" i="5" s="1"/>
  <c r="DX342" i="5" s="1"/>
  <c r="EA342" i="5" s="1"/>
  <c r="ED342" i="5" s="1"/>
  <c r="EG342" i="5" s="1"/>
  <c r="DF337" i="5"/>
  <c r="DI337" i="5" s="1"/>
  <c r="DL337" i="5" s="1"/>
  <c r="DO337" i="5" s="1"/>
  <c r="DE336" i="5"/>
  <c r="DF332" i="5"/>
  <c r="DI332" i="5" s="1"/>
  <c r="DE331" i="5"/>
  <c r="DF325" i="5"/>
  <c r="DE324" i="5"/>
  <c r="DF321" i="5"/>
  <c r="DE320" i="5"/>
  <c r="DF317" i="5"/>
  <c r="DF313" i="5"/>
  <c r="DE313" i="5"/>
  <c r="DE312" i="5"/>
  <c r="DE311" i="5"/>
  <c r="DF309" i="5"/>
  <c r="DI309" i="5" s="1"/>
  <c r="DL309" i="5" s="1"/>
  <c r="DO309" i="5" s="1"/>
  <c r="DR309" i="5" s="1"/>
  <c r="DU309" i="5" s="1"/>
  <c r="DX309" i="5" s="1"/>
  <c r="EA309" i="5" s="1"/>
  <c r="ED309" i="5" s="1"/>
  <c r="EG309" i="5" s="1"/>
  <c r="DF308" i="5"/>
  <c r="DI308" i="5" s="1"/>
  <c r="DL308" i="5" s="1"/>
  <c r="DO308" i="5" s="1"/>
  <c r="DR308" i="5" s="1"/>
  <c r="DU308" i="5" s="1"/>
  <c r="DX308" i="5" s="1"/>
  <c r="EA308" i="5" s="1"/>
  <c r="ED308" i="5" s="1"/>
  <c r="EG308" i="5" s="1"/>
  <c r="DF307" i="5"/>
  <c r="DI307" i="5" s="1"/>
  <c r="DL307" i="5" s="1"/>
  <c r="DO307" i="5" s="1"/>
  <c r="DR307" i="5" s="1"/>
  <c r="DU307" i="5" s="1"/>
  <c r="DX307" i="5" s="1"/>
  <c r="EA307" i="5" s="1"/>
  <c r="ED307" i="5" s="1"/>
  <c r="EG307" i="5" s="1"/>
  <c r="DF306" i="5"/>
  <c r="DI306" i="5" s="1"/>
  <c r="DL306" i="5" s="1"/>
  <c r="DO306" i="5" s="1"/>
  <c r="DR306" i="5" s="1"/>
  <c r="DU306" i="5" s="1"/>
  <c r="DX306" i="5" s="1"/>
  <c r="EA306" i="5" s="1"/>
  <c r="ED306" i="5" s="1"/>
  <c r="EG306" i="5" s="1"/>
  <c r="DF305" i="5"/>
  <c r="DI305" i="5" s="1"/>
  <c r="DL305" i="5" s="1"/>
  <c r="DO305" i="5" s="1"/>
  <c r="DR305" i="5" s="1"/>
  <c r="DU305" i="5" s="1"/>
  <c r="DX305" i="5" s="1"/>
  <c r="EA305" i="5" s="1"/>
  <c r="ED305" i="5" s="1"/>
  <c r="EG305" i="5" s="1"/>
  <c r="DF304" i="5"/>
  <c r="DI304" i="5" s="1"/>
  <c r="DL304" i="5" s="1"/>
  <c r="DO304" i="5" s="1"/>
  <c r="DR304" i="5" s="1"/>
  <c r="DU304" i="5" s="1"/>
  <c r="DX304" i="5" s="1"/>
  <c r="EA304" i="5" s="1"/>
  <c r="ED304" i="5" s="1"/>
  <c r="EG304" i="5" s="1"/>
  <c r="DF303" i="5"/>
  <c r="DI303" i="5" s="1"/>
  <c r="DL303" i="5" s="1"/>
  <c r="DO303" i="5" s="1"/>
  <c r="DR303" i="5" s="1"/>
  <c r="DU303" i="5" s="1"/>
  <c r="DX303" i="5" s="1"/>
  <c r="EA303" i="5" s="1"/>
  <c r="ED303" i="5" s="1"/>
  <c r="EG303" i="5" s="1"/>
  <c r="DF302" i="5"/>
  <c r="DI302" i="5" s="1"/>
  <c r="DL302" i="5" s="1"/>
  <c r="DO302" i="5" s="1"/>
  <c r="DR302" i="5" s="1"/>
  <c r="DU302" i="5" s="1"/>
  <c r="DX302" i="5" s="1"/>
  <c r="EA302" i="5" s="1"/>
  <c r="ED302" i="5" s="1"/>
  <c r="EG302" i="5" s="1"/>
  <c r="DF301" i="5"/>
  <c r="DI301" i="5" s="1"/>
  <c r="DL301" i="5" s="1"/>
  <c r="DO301" i="5" s="1"/>
  <c r="DR301" i="5" s="1"/>
  <c r="DU301" i="5" s="1"/>
  <c r="DX301" i="5" s="1"/>
  <c r="EA301" i="5" s="1"/>
  <c r="ED301" i="5" s="1"/>
  <c r="EG301" i="5" s="1"/>
  <c r="DF300" i="5"/>
  <c r="DF299" i="5"/>
  <c r="DI299" i="5" s="1"/>
  <c r="DL299" i="5" s="1"/>
  <c r="DO299" i="5" s="1"/>
  <c r="DR299" i="5" s="1"/>
  <c r="DU299" i="5" s="1"/>
  <c r="DX299" i="5" s="1"/>
  <c r="EA299" i="5" s="1"/>
  <c r="ED299" i="5" s="1"/>
  <c r="EG299" i="5" s="1"/>
  <c r="DF298" i="5"/>
  <c r="DI298" i="5" s="1"/>
  <c r="DL298" i="5" s="1"/>
  <c r="DO298" i="5" s="1"/>
  <c r="DR298" i="5" s="1"/>
  <c r="DU298" i="5" s="1"/>
  <c r="DX298" i="5" s="1"/>
  <c r="EA298" i="5" s="1"/>
  <c r="ED298" i="5" s="1"/>
  <c r="EG298" i="5" s="1"/>
  <c r="DF297" i="5"/>
  <c r="DI297" i="5" s="1"/>
  <c r="DL297" i="5" s="1"/>
  <c r="DO297" i="5" s="1"/>
  <c r="DR297" i="5" s="1"/>
  <c r="DU297" i="5" s="1"/>
  <c r="DX297" i="5" s="1"/>
  <c r="EA297" i="5" s="1"/>
  <c r="ED297" i="5" s="1"/>
  <c r="EG297" i="5" s="1"/>
  <c r="DF296" i="5"/>
  <c r="DI296" i="5" s="1"/>
  <c r="DL296" i="5" s="1"/>
  <c r="DO296" i="5" s="1"/>
  <c r="DR296" i="5" s="1"/>
  <c r="DU296" i="5" s="1"/>
  <c r="DX296" i="5" s="1"/>
  <c r="EA296" i="5" s="1"/>
  <c r="ED296" i="5" s="1"/>
  <c r="EG296" i="5" s="1"/>
  <c r="DF295" i="5"/>
  <c r="DI295" i="5" s="1"/>
  <c r="DL295" i="5" s="1"/>
  <c r="DO295" i="5" s="1"/>
  <c r="DR295" i="5" s="1"/>
  <c r="DU295" i="5" s="1"/>
  <c r="DX295" i="5" s="1"/>
  <c r="EA295" i="5" s="1"/>
  <c r="ED295" i="5" s="1"/>
  <c r="EG295" i="5" s="1"/>
  <c r="DF294" i="5"/>
  <c r="DF293" i="5"/>
  <c r="DI293" i="5" s="1"/>
  <c r="DL293" i="5" s="1"/>
  <c r="DO293" i="5" s="1"/>
  <c r="DR293" i="5" s="1"/>
  <c r="DU293" i="5" s="1"/>
  <c r="DX293" i="5" s="1"/>
  <c r="EA293" i="5" s="1"/>
  <c r="ED293" i="5" s="1"/>
  <c r="EG293" i="5" s="1"/>
  <c r="DF292" i="5"/>
  <c r="DI292" i="5" s="1"/>
  <c r="DL292" i="5" s="1"/>
  <c r="DO292" i="5" s="1"/>
  <c r="DR292" i="5" s="1"/>
  <c r="DU292" i="5" s="1"/>
  <c r="DX292" i="5" s="1"/>
  <c r="EA292" i="5" s="1"/>
  <c r="ED292" i="5" s="1"/>
  <c r="EG292" i="5" s="1"/>
  <c r="DF291" i="5"/>
  <c r="DI291" i="5" s="1"/>
  <c r="DL291" i="5" s="1"/>
  <c r="DO291" i="5" s="1"/>
  <c r="DR291" i="5" s="1"/>
  <c r="DU291" i="5" s="1"/>
  <c r="DX291" i="5" s="1"/>
  <c r="EA291" i="5" s="1"/>
  <c r="ED291" i="5" s="1"/>
  <c r="EG291" i="5" s="1"/>
  <c r="DF289" i="5"/>
  <c r="DI289" i="5" s="1"/>
  <c r="DL289" i="5" s="1"/>
  <c r="DO289" i="5" s="1"/>
  <c r="DR289" i="5" s="1"/>
  <c r="DU289" i="5" s="1"/>
  <c r="DX289" i="5" s="1"/>
  <c r="EA289" i="5" s="1"/>
  <c r="ED289" i="5" s="1"/>
  <c r="EG289" i="5" s="1"/>
  <c r="DF288" i="5"/>
  <c r="DI288" i="5" s="1"/>
  <c r="DL288" i="5" s="1"/>
  <c r="DO288" i="5" s="1"/>
  <c r="DR288" i="5" s="1"/>
  <c r="DU288" i="5" s="1"/>
  <c r="DX288" i="5" s="1"/>
  <c r="EA288" i="5" s="1"/>
  <c r="ED288" i="5" s="1"/>
  <c r="EG288" i="5" s="1"/>
  <c r="DF287" i="5"/>
  <c r="DI287" i="5" s="1"/>
  <c r="DL287" i="5" s="1"/>
  <c r="DO287" i="5" s="1"/>
  <c r="DR287" i="5" s="1"/>
  <c r="DU287" i="5" s="1"/>
  <c r="DX287" i="5" s="1"/>
  <c r="EA287" i="5" s="1"/>
  <c r="ED287" i="5" s="1"/>
  <c r="EG287" i="5" s="1"/>
  <c r="DF286" i="5"/>
  <c r="DI286" i="5" s="1"/>
  <c r="DL286" i="5" s="1"/>
  <c r="DO286" i="5" s="1"/>
  <c r="DR286" i="5" s="1"/>
  <c r="DU286" i="5" s="1"/>
  <c r="DX286" i="5" s="1"/>
  <c r="EA286" i="5" s="1"/>
  <c r="ED286" i="5" s="1"/>
  <c r="EG286" i="5" s="1"/>
  <c r="DF284" i="5"/>
  <c r="DI284" i="5" s="1"/>
  <c r="DL284" i="5" s="1"/>
  <c r="DO284" i="5" s="1"/>
  <c r="DR284" i="5" s="1"/>
  <c r="DU284" i="5" s="1"/>
  <c r="DX284" i="5" s="1"/>
  <c r="EA284" i="5" s="1"/>
  <c r="ED284" i="5" s="1"/>
  <c r="EG284" i="5" s="1"/>
  <c r="DF283" i="5"/>
  <c r="DI283" i="5" s="1"/>
  <c r="DL283" i="5" s="1"/>
  <c r="DO283" i="5" s="1"/>
  <c r="DR283" i="5" s="1"/>
  <c r="DU283" i="5" s="1"/>
  <c r="DX283" i="5" s="1"/>
  <c r="EA283" i="5" s="1"/>
  <c r="ED283" i="5" s="1"/>
  <c r="EG283" i="5" s="1"/>
  <c r="DF280" i="5"/>
  <c r="DI280" i="5" s="1"/>
  <c r="DL280" i="5" s="1"/>
  <c r="DO280" i="5" s="1"/>
  <c r="DR280" i="5" s="1"/>
  <c r="DU280" i="5" s="1"/>
  <c r="DX280" i="5" s="1"/>
  <c r="EA280" i="5" s="1"/>
  <c r="ED280" i="5" s="1"/>
  <c r="EG280" i="5" s="1"/>
  <c r="DF279" i="5"/>
  <c r="DI279" i="5" s="1"/>
  <c r="DL279" i="5" s="1"/>
  <c r="DO279" i="5" s="1"/>
  <c r="DR279" i="5" s="1"/>
  <c r="DU279" i="5" s="1"/>
  <c r="DX279" i="5" s="1"/>
  <c r="EA279" i="5" s="1"/>
  <c r="ED279" i="5" s="1"/>
  <c r="EG279" i="5" s="1"/>
  <c r="DF255" i="5"/>
  <c r="DI255" i="5" s="1"/>
  <c r="DL255" i="5" s="1"/>
  <c r="DO255" i="5" s="1"/>
  <c r="DR255" i="5" s="1"/>
  <c r="DU255" i="5" s="1"/>
  <c r="DX255" i="5" s="1"/>
  <c r="EA255" i="5" s="1"/>
  <c r="ED255" i="5" s="1"/>
  <c r="EG255" i="5" s="1"/>
  <c r="DF254" i="5"/>
  <c r="DI254" i="5" s="1"/>
  <c r="DL254" i="5" s="1"/>
  <c r="DO254" i="5" s="1"/>
  <c r="DR254" i="5" s="1"/>
  <c r="DU254" i="5" s="1"/>
  <c r="DX254" i="5" s="1"/>
  <c r="EA254" i="5" s="1"/>
  <c r="ED254" i="5" s="1"/>
  <c r="EG254" i="5" s="1"/>
  <c r="DF252" i="5"/>
  <c r="DI252" i="5" s="1"/>
  <c r="DL252" i="5" s="1"/>
  <c r="DO252" i="5" s="1"/>
  <c r="DR252" i="5" s="1"/>
  <c r="DU252" i="5" s="1"/>
  <c r="DX252" i="5" s="1"/>
  <c r="EA252" i="5" s="1"/>
  <c r="ED252" i="5" s="1"/>
  <c r="EG252" i="5" s="1"/>
  <c r="DF251" i="5"/>
  <c r="DI251" i="5" s="1"/>
  <c r="DL251" i="5" s="1"/>
  <c r="DO251" i="5" s="1"/>
  <c r="DR251" i="5" s="1"/>
  <c r="DU251" i="5" s="1"/>
  <c r="DX251" i="5" s="1"/>
  <c r="EA251" i="5" s="1"/>
  <c r="ED251" i="5" s="1"/>
  <c r="EG251" i="5" s="1"/>
  <c r="DF250" i="5"/>
  <c r="DI250" i="5" s="1"/>
  <c r="DL250" i="5" s="1"/>
  <c r="DO250" i="5" s="1"/>
  <c r="DR250" i="5" s="1"/>
  <c r="DU250" i="5" s="1"/>
  <c r="DX250" i="5" s="1"/>
  <c r="EA250" i="5" s="1"/>
  <c r="ED250" i="5" s="1"/>
  <c r="EG250" i="5" s="1"/>
  <c r="DF249" i="5"/>
  <c r="DI249" i="5" s="1"/>
  <c r="DL249" i="5" s="1"/>
  <c r="DO249" i="5" s="1"/>
  <c r="DR249" i="5" s="1"/>
  <c r="DU249" i="5" s="1"/>
  <c r="DX249" i="5" s="1"/>
  <c r="EA249" i="5" s="1"/>
  <c r="ED249" i="5" s="1"/>
  <c r="EG249" i="5" s="1"/>
  <c r="DF248" i="5"/>
  <c r="DI248" i="5" s="1"/>
  <c r="DL248" i="5" s="1"/>
  <c r="DO248" i="5" s="1"/>
  <c r="DR248" i="5" s="1"/>
  <c r="DU248" i="5" s="1"/>
  <c r="DX248" i="5" s="1"/>
  <c r="EA248" i="5" s="1"/>
  <c r="ED248" i="5" s="1"/>
  <c r="EG248" i="5" s="1"/>
  <c r="DE247" i="5"/>
  <c r="DF245" i="5"/>
  <c r="DI245" i="5" s="1"/>
  <c r="DL245" i="5" s="1"/>
  <c r="DO245" i="5" s="1"/>
  <c r="DR245" i="5" s="1"/>
  <c r="DU245" i="5" s="1"/>
  <c r="DX245" i="5" s="1"/>
  <c r="EA245" i="5" s="1"/>
  <c r="ED245" i="5" s="1"/>
  <c r="EG245" i="5" s="1"/>
  <c r="DF244" i="5"/>
  <c r="DI244" i="5" s="1"/>
  <c r="DL244" i="5" s="1"/>
  <c r="DO244" i="5" s="1"/>
  <c r="DR244" i="5" s="1"/>
  <c r="DU244" i="5" s="1"/>
  <c r="DX244" i="5" s="1"/>
  <c r="EA244" i="5" s="1"/>
  <c r="ED244" i="5" s="1"/>
  <c r="EG244" i="5" s="1"/>
  <c r="DF243" i="5"/>
  <c r="DE242" i="5"/>
  <c r="DE241" i="5"/>
  <c r="DE240" i="5"/>
  <c r="DF237" i="5"/>
  <c r="DF235" i="5"/>
  <c r="DI235" i="5" s="1"/>
  <c r="DL235" i="5" s="1"/>
  <c r="DO235" i="5" s="1"/>
  <c r="DR235" i="5" s="1"/>
  <c r="DU235" i="5" s="1"/>
  <c r="DX235" i="5" s="1"/>
  <c r="EA235" i="5" s="1"/>
  <c r="ED235" i="5" s="1"/>
  <c r="EG235" i="5" s="1"/>
  <c r="DF233" i="5"/>
  <c r="DI233" i="5" s="1"/>
  <c r="DL233" i="5" s="1"/>
  <c r="DO233" i="5" s="1"/>
  <c r="DR233" i="5" s="1"/>
  <c r="DU233" i="5" s="1"/>
  <c r="DX233" i="5" s="1"/>
  <c r="EA233" i="5" s="1"/>
  <c r="ED233" i="5" s="1"/>
  <c r="EG233" i="5" s="1"/>
  <c r="DF232" i="5"/>
  <c r="DI232" i="5" s="1"/>
  <c r="DL232" i="5" s="1"/>
  <c r="DO232" i="5" s="1"/>
  <c r="DR232" i="5" s="1"/>
  <c r="DU232" i="5" s="1"/>
  <c r="DX232" i="5" s="1"/>
  <c r="EA232" i="5" s="1"/>
  <c r="ED232" i="5" s="1"/>
  <c r="EG232" i="5" s="1"/>
  <c r="DF230" i="5"/>
  <c r="DI230" i="5" s="1"/>
  <c r="DL230" i="5" s="1"/>
  <c r="DO230" i="5" s="1"/>
  <c r="DR230" i="5" s="1"/>
  <c r="DU230" i="5" s="1"/>
  <c r="DX230" i="5" s="1"/>
  <c r="EA230" i="5" s="1"/>
  <c r="ED230" i="5" s="1"/>
  <c r="EG230" i="5" s="1"/>
  <c r="DF229" i="5"/>
  <c r="DI229" i="5" s="1"/>
  <c r="DL229" i="5" s="1"/>
  <c r="DO229" i="5" s="1"/>
  <c r="DR229" i="5" s="1"/>
  <c r="DU229" i="5" s="1"/>
  <c r="DX229" i="5" s="1"/>
  <c r="EA229" i="5" s="1"/>
  <c r="ED229" i="5" s="1"/>
  <c r="EG229" i="5" s="1"/>
  <c r="DF228" i="5"/>
  <c r="DF227" i="5"/>
  <c r="DI227" i="5" s="1"/>
  <c r="DL227" i="5" s="1"/>
  <c r="DO227" i="5" s="1"/>
  <c r="DR227" i="5" s="1"/>
  <c r="DU227" i="5" s="1"/>
  <c r="DX227" i="5" s="1"/>
  <c r="EA227" i="5" s="1"/>
  <c r="ED227" i="5" s="1"/>
  <c r="EG227" i="5" s="1"/>
  <c r="DF226" i="5"/>
  <c r="DI226" i="5" s="1"/>
  <c r="DL226" i="5" s="1"/>
  <c r="DO226" i="5" s="1"/>
  <c r="DR226" i="5" s="1"/>
  <c r="DU226" i="5" s="1"/>
  <c r="DX226" i="5" s="1"/>
  <c r="EA226" i="5" s="1"/>
  <c r="ED226" i="5" s="1"/>
  <c r="EG226" i="5" s="1"/>
  <c r="DF225" i="5"/>
  <c r="DI225" i="5" s="1"/>
  <c r="DL225" i="5" s="1"/>
  <c r="DO225" i="5" s="1"/>
  <c r="DR225" i="5" s="1"/>
  <c r="DU225" i="5" s="1"/>
  <c r="DX225" i="5" s="1"/>
  <c r="EA225" i="5" s="1"/>
  <c r="ED225" i="5" s="1"/>
  <c r="EG225" i="5" s="1"/>
  <c r="DF224" i="5"/>
  <c r="DI224" i="5" s="1"/>
  <c r="DL224" i="5" s="1"/>
  <c r="DO224" i="5" s="1"/>
  <c r="DR224" i="5" s="1"/>
  <c r="DU224" i="5" s="1"/>
  <c r="DX224" i="5" s="1"/>
  <c r="EA224" i="5" s="1"/>
  <c r="ED224" i="5" s="1"/>
  <c r="EG224" i="5" s="1"/>
  <c r="DF223" i="5"/>
  <c r="DI223" i="5" s="1"/>
  <c r="DL223" i="5" s="1"/>
  <c r="DO223" i="5" s="1"/>
  <c r="DR223" i="5" s="1"/>
  <c r="DU223" i="5" s="1"/>
  <c r="DX223" i="5" s="1"/>
  <c r="EA223" i="5" s="1"/>
  <c r="ED223" i="5" s="1"/>
  <c r="EG223" i="5" s="1"/>
  <c r="DF222" i="5"/>
  <c r="DI222" i="5" s="1"/>
  <c r="DL222" i="5" s="1"/>
  <c r="DO222" i="5" s="1"/>
  <c r="DR222" i="5" s="1"/>
  <c r="DU222" i="5" s="1"/>
  <c r="DX222" i="5" s="1"/>
  <c r="EA222" i="5" s="1"/>
  <c r="ED222" i="5" s="1"/>
  <c r="EG222" i="5" s="1"/>
  <c r="DF221" i="5"/>
  <c r="DI221" i="5" s="1"/>
  <c r="DL221" i="5" s="1"/>
  <c r="DO221" i="5" s="1"/>
  <c r="DR221" i="5" s="1"/>
  <c r="DU221" i="5" s="1"/>
  <c r="DX221" i="5" s="1"/>
  <c r="EA221" i="5" s="1"/>
  <c r="ED221" i="5" s="1"/>
  <c r="EG221" i="5" s="1"/>
  <c r="DF220" i="5"/>
  <c r="DI220" i="5" s="1"/>
  <c r="DL220" i="5" s="1"/>
  <c r="DO220" i="5" s="1"/>
  <c r="DR220" i="5" s="1"/>
  <c r="DU220" i="5" s="1"/>
  <c r="DX220" i="5" s="1"/>
  <c r="EA220" i="5" s="1"/>
  <c r="ED220" i="5" s="1"/>
  <c r="EG220" i="5" s="1"/>
  <c r="DF218" i="5"/>
  <c r="DI218" i="5" s="1"/>
  <c r="DL218" i="5" s="1"/>
  <c r="DO218" i="5" s="1"/>
  <c r="DR218" i="5" s="1"/>
  <c r="DU218" i="5" s="1"/>
  <c r="DX218" i="5" s="1"/>
  <c r="EA218" i="5" s="1"/>
  <c r="ED218" i="5" s="1"/>
  <c r="EG218" i="5" s="1"/>
  <c r="DF217" i="5"/>
  <c r="DI217" i="5" s="1"/>
  <c r="DL217" i="5" s="1"/>
  <c r="DO217" i="5" s="1"/>
  <c r="DR217" i="5" s="1"/>
  <c r="DU217" i="5" s="1"/>
  <c r="DX217" i="5" s="1"/>
  <c r="EA217" i="5" s="1"/>
  <c r="ED217" i="5" s="1"/>
  <c r="EG217" i="5" s="1"/>
  <c r="DE216" i="5"/>
  <c r="DF215" i="5"/>
  <c r="DE212" i="5"/>
  <c r="DF208" i="5"/>
  <c r="DI208" i="5" s="1"/>
  <c r="DL208" i="5" s="1"/>
  <c r="DO208" i="5" s="1"/>
  <c r="DR208" i="5" s="1"/>
  <c r="DU208" i="5" s="1"/>
  <c r="DX208" i="5" s="1"/>
  <c r="EA208" i="5" s="1"/>
  <c r="ED208" i="5" s="1"/>
  <c r="EG208" i="5" s="1"/>
  <c r="DF207" i="5"/>
  <c r="DI207" i="5" s="1"/>
  <c r="DL207" i="5" s="1"/>
  <c r="DO207" i="5" s="1"/>
  <c r="DR207" i="5" s="1"/>
  <c r="DU207" i="5" s="1"/>
  <c r="DX207" i="5" s="1"/>
  <c r="EA207" i="5" s="1"/>
  <c r="ED207" i="5" s="1"/>
  <c r="EG207" i="5" s="1"/>
  <c r="DF206" i="5"/>
  <c r="DE204" i="5"/>
  <c r="DE203" i="5"/>
  <c r="DF198" i="5"/>
  <c r="DI198" i="5" s="1"/>
  <c r="DL198" i="5" s="1"/>
  <c r="DF197" i="5"/>
  <c r="DI197" i="5" s="1"/>
  <c r="DL197" i="5" s="1"/>
  <c r="DO197" i="5" s="1"/>
  <c r="DR197" i="5" s="1"/>
  <c r="DU197" i="5" s="1"/>
  <c r="DX197" i="5" s="1"/>
  <c r="EA197" i="5" s="1"/>
  <c r="ED197" i="5" s="1"/>
  <c r="EG197" i="5" s="1"/>
  <c r="DF195" i="5"/>
  <c r="DI195" i="5" s="1"/>
  <c r="DL195" i="5" s="1"/>
  <c r="DO195" i="5" s="1"/>
  <c r="DR195" i="5" s="1"/>
  <c r="DU195" i="5" s="1"/>
  <c r="DX195" i="5" s="1"/>
  <c r="EA195" i="5" s="1"/>
  <c r="ED195" i="5" s="1"/>
  <c r="EG195" i="5" s="1"/>
  <c r="DF194" i="5"/>
  <c r="DF193" i="5"/>
  <c r="DI193" i="5" s="1"/>
  <c r="DL193" i="5" s="1"/>
  <c r="DO193" i="5" s="1"/>
  <c r="DR193" i="5" s="1"/>
  <c r="DU193" i="5" s="1"/>
  <c r="DX193" i="5" s="1"/>
  <c r="EA193" i="5" s="1"/>
  <c r="ED193" i="5" s="1"/>
  <c r="EG193" i="5" s="1"/>
  <c r="DF192" i="5"/>
  <c r="DI192" i="5" s="1"/>
  <c r="DL192" i="5" s="1"/>
  <c r="DO192" i="5" s="1"/>
  <c r="DR192" i="5" s="1"/>
  <c r="DU192" i="5" s="1"/>
  <c r="DX192" i="5" s="1"/>
  <c r="EA192" i="5" s="1"/>
  <c r="ED192" i="5" s="1"/>
  <c r="EG192" i="5" s="1"/>
  <c r="DF191" i="5"/>
  <c r="DI191" i="5" s="1"/>
  <c r="DL191" i="5" s="1"/>
  <c r="DO191" i="5" s="1"/>
  <c r="DR191" i="5" s="1"/>
  <c r="DU191" i="5" s="1"/>
  <c r="DX191" i="5" s="1"/>
  <c r="EA191" i="5" s="1"/>
  <c r="ED191" i="5" s="1"/>
  <c r="EG191" i="5" s="1"/>
  <c r="DF189" i="5"/>
  <c r="DI189" i="5" s="1"/>
  <c r="DL189" i="5" s="1"/>
  <c r="DO189" i="5" s="1"/>
  <c r="DR189" i="5" s="1"/>
  <c r="DU189" i="5" s="1"/>
  <c r="DX189" i="5" s="1"/>
  <c r="EA189" i="5" s="1"/>
  <c r="ED189" i="5" s="1"/>
  <c r="EG189" i="5" s="1"/>
  <c r="DF188" i="5"/>
  <c r="DI188" i="5" s="1"/>
  <c r="DL188" i="5" s="1"/>
  <c r="DO188" i="5" s="1"/>
  <c r="DR188" i="5" s="1"/>
  <c r="DU188" i="5" s="1"/>
  <c r="DX188" i="5" s="1"/>
  <c r="EA188" i="5" s="1"/>
  <c r="ED188" i="5" s="1"/>
  <c r="EG188" i="5" s="1"/>
  <c r="DF187" i="5"/>
  <c r="DI187" i="5" s="1"/>
  <c r="DL187" i="5" s="1"/>
  <c r="DO187" i="5" s="1"/>
  <c r="DR187" i="5" s="1"/>
  <c r="DU187" i="5" s="1"/>
  <c r="DX187" i="5" s="1"/>
  <c r="EA187" i="5" s="1"/>
  <c r="ED187" i="5" s="1"/>
  <c r="EG187" i="5" s="1"/>
  <c r="DF186" i="5"/>
  <c r="DI186" i="5" s="1"/>
  <c r="DL186" i="5" s="1"/>
  <c r="DO186" i="5" s="1"/>
  <c r="DR186" i="5" s="1"/>
  <c r="DU186" i="5" s="1"/>
  <c r="DX186" i="5" s="1"/>
  <c r="EA186" i="5" s="1"/>
  <c r="ED186" i="5" s="1"/>
  <c r="EG186" i="5" s="1"/>
  <c r="DF185" i="5"/>
  <c r="DI185" i="5" s="1"/>
  <c r="DL185" i="5" s="1"/>
  <c r="DO185" i="5" s="1"/>
  <c r="DR185" i="5" s="1"/>
  <c r="DU185" i="5" s="1"/>
  <c r="DX185" i="5" s="1"/>
  <c r="EA185" i="5" s="1"/>
  <c r="ED185" i="5" s="1"/>
  <c r="EG185" i="5" s="1"/>
  <c r="DF182" i="5"/>
  <c r="DI182" i="5" s="1"/>
  <c r="DL182" i="5" s="1"/>
  <c r="DO182" i="5" s="1"/>
  <c r="DR182" i="5" s="1"/>
  <c r="DU182" i="5" s="1"/>
  <c r="DX182" i="5" s="1"/>
  <c r="EA182" i="5" s="1"/>
  <c r="ED182" i="5" s="1"/>
  <c r="EG182" i="5" s="1"/>
  <c r="DF181" i="5"/>
  <c r="DE180" i="5"/>
  <c r="DE179" i="5"/>
  <c r="DF176" i="5"/>
  <c r="DF175" i="5"/>
  <c r="DI175" i="5" s="1"/>
  <c r="DL175" i="5" s="1"/>
  <c r="DO175" i="5" s="1"/>
  <c r="DR175" i="5" s="1"/>
  <c r="DU175" i="5" s="1"/>
  <c r="DX175" i="5" s="1"/>
  <c r="EA175" i="5" s="1"/>
  <c r="ED175" i="5" s="1"/>
  <c r="EG175" i="5" s="1"/>
  <c r="DF169" i="5"/>
  <c r="DI169" i="5" s="1"/>
  <c r="DL169" i="5" s="1"/>
  <c r="DO169" i="5" s="1"/>
  <c r="DR169" i="5" s="1"/>
  <c r="DU169" i="5" s="1"/>
  <c r="DX169" i="5" s="1"/>
  <c r="EA169" i="5" s="1"/>
  <c r="ED169" i="5" s="1"/>
  <c r="EG169" i="5" s="1"/>
  <c r="DE168" i="5"/>
  <c r="DE167" i="5"/>
  <c r="DF164" i="5"/>
  <c r="DI164" i="5" s="1"/>
  <c r="DL164" i="5" s="1"/>
  <c r="DO164" i="5" s="1"/>
  <c r="DR164" i="5" s="1"/>
  <c r="DU164" i="5" s="1"/>
  <c r="DX164" i="5" s="1"/>
  <c r="EA164" i="5" s="1"/>
  <c r="ED164" i="5" s="1"/>
  <c r="EG164" i="5" s="1"/>
  <c r="DF162" i="5"/>
  <c r="DF161" i="5"/>
  <c r="DE160" i="5"/>
  <c r="DF157" i="5"/>
  <c r="DE156" i="5"/>
  <c r="DE155" i="5"/>
  <c r="DF153" i="5"/>
  <c r="DF151" i="5"/>
  <c r="DI151" i="5" s="1"/>
  <c r="DL151" i="5" s="1"/>
  <c r="DO151" i="5" s="1"/>
  <c r="DR151" i="5" s="1"/>
  <c r="DU151" i="5" s="1"/>
  <c r="DX151" i="5" s="1"/>
  <c r="EA151" i="5" s="1"/>
  <c r="ED151" i="5" s="1"/>
  <c r="EG151" i="5" s="1"/>
  <c r="DF149" i="5"/>
  <c r="DF148" i="5"/>
  <c r="DE148" i="5"/>
  <c r="DE147" i="5"/>
  <c r="DE146" i="5"/>
  <c r="DF143" i="5"/>
  <c r="DF140" i="5"/>
  <c r="DF138" i="5"/>
  <c r="DI138" i="5" s="1"/>
  <c r="DL138" i="5" s="1"/>
  <c r="DO138" i="5" s="1"/>
  <c r="DR138" i="5" s="1"/>
  <c r="DU138" i="5" s="1"/>
  <c r="DX138" i="5" s="1"/>
  <c r="EA138" i="5" s="1"/>
  <c r="ED138" i="5" s="1"/>
  <c r="EG138" i="5" s="1"/>
  <c r="DF137" i="5"/>
  <c r="DE137" i="5"/>
  <c r="DF136" i="5"/>
  <c r="DE136" i="5"/>
  <c r="DE132" i="5"/>
  <c r="DE131" i="5"/>
  <c r="DF128" i="5"/>
  <c r="DI128" i="5" s="1"/>
  <c r="DL128" i="5" s="1"/>
  <c r="DO128" i="5" s="1"/>
  <c r="DR128" i="5" s="1"/>
  <c r="DU128" i="5" s="1"/>
  <c r="DX128" i="5" s="1"/>
  <c r="EA128" i="5" s="1"/>
  <c r="ED128" i="5" s="1"/>
  <c r="EG128" i="5" s="1"/>
  <c r="DF127" i="5"/>
  <c r="DI127" i="5" s="1"/>
  <c r="DL127" i="5" s="1"/>
  <c r="DO127" i="5" s="1"/>
  <c r="DR127" i="5" s="1"/>
  <c r="DU127" i="5" s="1"/>
  <c r="DX127" i="5" s="1"/>
  <c r="EA127" i="5" s="1"/>
  <c r="ED127" i="5" s="1"/>
  <c r="EG127" i="5" s="1"/>
  <c r="DF126" i="5"/>
  <c r="DI126" i="5" s="1"/>
  <c r="DL126" i="5" s="1"/>
  <c r="DO126" i="5" s="1"/>
  <c r="DR126" i="5" s="1"/>
  <c r="DU126" i="5" s="1"/>
  <c r="DX126" i="5" s="1"/>
  <c r="EA126" i="5" s="1"/>
  <c r="ED126" i="5" s="1"/>
  <c r="EG126" i="5" s="1"/>
  <c r="DF125" i="5"/>
  <c r="DF124" i="5"/>
  <c r="DI124" i="5" s="1"/>
  <c r="DL124" i="5" s="1"/>
  <c r="DO124" i="5" s="1"/>
  <c r="DR124" i="5" s="1"/>
  <c r="DU124" i="5" s="1"/>
  <c r="DX124" i="5" s="1"/>
  <c r="EA124" i="5" s="1"/>
  <c r="ED124" i="5" s="1"/>
  <c r="EG124" i="5" s="1"/>
  <c r="DF123" i="5"/>
  <c r="DI123" i="5" s="1"/>
  <c r="DL123" i="5" s="1"/>
  <c r="DO123" i="5" s="1"/>
  <c r="DR123" i="5" s="1"/>
  <c r="DU123" i="5" s="1"/>
  <c r="DX123" i="5" s="1"/>
  <c r="EA123" i="5" s="1"/>
  <c r="ED123" i="5" s="1"/>
  <c r="EG123" i="5" s="1"/>
  <c r="DF122" i="5"/>
  <c r="DI122" i="5" s="1"/>
  <c r="DL122" i="5" s="1"/>
  <c r="DO122" i="5" s="1"/>
  <c r="DR122" i="5" s="1"/>
  <c r="DU122" i="5" s="1"/>
  <c r="DX122" i="5" s="1"/>
  <c r="EA122" i="5" s="1"/>
  <c r="ED122" i="5" s="1"/>
  <c r="EG122" i="5" s="1"/>
  <c r="DF121" i="5"/>
  <c r="DI121" i="5" s="1"/>
  <c r="DL121" i="5" s="1"/>
  <c r="DO121" i="5" s="1"/>
  <c r="DR121" i="5" s="1"/>
  <c r="DU121" i="5" s="1"/>
  <c r="DX121" i="5" s="1"/>
  <c r="EA121" i="5" s="1"/>
  <c r="ED121" i="5" s="1"/>
  <c r="EG121" i="5" s="1"/>
  <c r="DF120" i="5"/>
  <c r="DI120" i="5" s="1"/>
  <c r="DL120" i="5" s="1"/>
  <c r="DO120" i="5" s="1"/>
  <c r="DR120" i="5" s="1"/>
  <c r="DU120" i="5" s="1"/>
  <c r="DX120" i="5" s="1"/>
  <c r="EA120" i="5" s="1"/>
  <c r="ED120" i="5" s="1"/>
  <c r="EG120" i="5" s="1"/>
  <c r="DE118" i="5"/>
  <c r="DE117" i="5"/>
  <c r="DF113" i="5"/>
  <c r="DF111" i="5"/>
  <c r="DI111" i="5" s="1"/>
  <c r="DL111" i="5" s="1"/>
  <c r="DO111" i="5" s="1"/>
  <c r="DR111" i="5" s="1"/>
  <c r="DU111" i="5" s="1"/>
  <c r="DX111" i="5" s="1"/>
  <c r="EA111" i="5" s="1"/>
  <c r="ED111" i="5" s="1"/>
  <c r="EG111" i="5" s="1"/>
  <c r="DF110" i="5"/>
  <c r="DI110" i="5" s="1"/>
  <c r="DL110" i="5" s="1"/>
  <c r="DO110" i="5" s="1"/>
  <c r="DR110" i="5" s="1"/>
  <c r="DU110" i="5" s="1"/>
  <c r="DX110" i="5" s="1"/>
  <c r="EA110" i="5" s="1"/>
  <c r="ED110" i="5" s="1"/>
  <c r="EG110" i="5" s="1"/>
  <c r="DF109" i="5"/>
  <c r="DI109" i="5" s="1"/>
  <c r="DL109" i="5" s="1"/>
  <c r="DO109" i="5" s="1"/>
  <c r="DR109" i="5" s="1"/>
  <c r="DU109" i="5" s="1"/>
  <c r="DX109" i="5" s="1"/>
  <c r="EA109" i="5" s="1"/>
  <c r="ED109" i="5" s="1"/>
  <c r="EG109" i="5" s="1"/>
  <c r="DF108" i="5"/>
  <c r="DI108" i="5" s="1"/>
  <c r="DL108" i="5" s="1"/>
  <c r="DO108" i="5" s="1"/>
  <c r="DR108" i="5" s="1"/>
  <c r="DU108" i="5" s="1"/>
  <c r="DX108" i="5" s="1"/>
  <c r="EA108" i="5" s="1"/>
  <c r="ED108" i="5" s="1"/>
  <c r="EG108" i="5" s="1"/>
  <c r="DE103" i="5"/>
  <c r="DF102" i="5"/>
  <c r="DI102" i="5" s="1"/>
  <c r="DE97" i="5"/>
  <c r="DE96" i="5"/>
  <c r="DF94" i="5"/>
  <c r="DF93" i="5"/>
  <c r="DI93" i="5" s="1"/>
  <c r="DL93" i="5" s="1"/>
  <c r="DO93" i="5" s="1"/>
  <c r="DR93" i="5" s="1"/>
  <c r="DU93" i="5" s="1"/>
  <c r="DX93" i="5" s="1"/>
  <c r="EA93" i="5" s="1"/>
  <c r="ED93" i="5" s="1"/>
  <c r="EG93" i="5" s="1"/>
  <c r="DF92" i="5"/>
  <c r="DI92" i="5" s="1"/>
  <c r="DL92" i="5" s="1"/>
  <c r="DO92" i="5" s="1"/>
  <c r="DR92" i="5" s="1"/>
  <c r="DU92" i="5" s="1"/>
  <c r="DX92" i="5" s="1"/>
  <c r="EA92" i="5" s="1"/>
  <c r="ED92" i="5" s="1"/>
  <c r="EG92" i="5" s="1"/>
  <c r="DF91" i="5"/>
  <c r="DI91" i="5" s="1"/>
  <c r="DL91" i="5" s="1"/>
  <c r="DO91" i="5" s="1"/>
  <c r="DR91" i="5" s="1"/>
  <c r="DU91" i="5" s="1"/>
  <c r="DX91" i="5" s="1"/>
  <c r="EA91" i="5" s="1"/>
  <c r="ED91" i="5" s="1"/>
  <c r="EG91" i="5" s="1"/>
  <c r="DF90" i="5"/>
  <c r="DI90" i="5" s="1"/>
  <c r="DL90" i="5" s="1"/>
  <c r="DO90" i="5" s="1"/>
  <c r="DR90" i="5" s="1"/>
  <c r="DU90" i="5" s="1"/>
  <c r="DX90" i="5" s="1"/>
  <c r="EA90" i="5" s="1"/>
  <c r="ED90" i="5" s="1"/>
  <c r="EG90" i="5" s="1"/>
  <c r="DF89" i="5"/>
  <c r="DI89" i="5" s="1"/>
  <c r="DL89" i="5" s="1"/>
  <c r="DO89" i="5" s="1"/>
  <c r="DR89" i="5" s="1"/>
  <c r="DU89" i="5" s="1"/>
  <c r="DX89" i="5" s="1"/>
  <c r="EA89" i="5" s="1"/>
  <c r="ED89" i="5" s="1"/>
  <c r="EG89" i="5" s="1"/>
  <c r="DF88" i="5"/>
  <c r="DI88" i="5" s="1"/>
  <c r="DL88" i="5" s="1"/>
  <c r="DO88" i="5" s="1"/>
  <c r="DR88" i="5" s="1"/>
  <c r="DU88" i="5" s="1"/>
  <c r="DX88" i="5" s="1"/>
  <c r="EA88" i="5" s="1"/>
  <c r="ED88" i="5" s="1"/>
  <c r="EG88" i="5" s="1"/>
  <c r="DF87" i="5"/>
  <c r="DI87" i="5" s="1"/>
  <c r="DL87" i="5" s="1"/>
  <c r="DO87" i="5" s="1"/>
  <c r="DR87" i="5" s="1"/>
  <c r="DU87" i="5" s="1"/>
  <c r="DX87" i="5" s="1"/>
  <c r="EA87" i="5" s="1"/>
  <c r="ED87" i="5" s="1"/>
  <c r="EG87" i="5" s="1"/>
  <c r="DF86" i="5"/>
  <c r="DI86" i="5" s="1"/>
  <c r="DL86" i="5" s="1"/>
  <c r="DO86" i="5" s="1"/>
  <c r="DR86" i="5" s="1"/>
  <c r="DU86" i="5" s="1"/>
  <c r="DX86" i="5" s="1"/>
  <c r="EA86" i="5" s="1"/>
  <c r="ED86" i="5" s="1"/>
  <c r="EG86" i="5" s="1"/>
  <c r="DE84" i="5"/>
  <c r="DF80" i="5"/>
  <c r="DI80" i="5" s="1"/>
  <c r="DL80" i="5" s="1"/>
  <c r="DO80" i="5" s="1"/>
  <c r="DR80" i="5" s="1"/>
  <c r="DU80" i="5" s="1"/>
  <c r="DX80" i="5" s="1"/>
  <c r="EA80" i="5" s="1"/>
  <c r="ED80" i="5" s="1"/>
  <c r="EG80" i="5" s="1"/>
  <c r="DF78" i="5"/>
  <c r="DI78" i="5" s="1"/>
  <c r="DL78" i="5" s="1"/>
  <c r="DO78" i="5" s="1"/>
  <c r="DR78" i="5" s="1"/>
  <c r="DU78" i="5" s="1"/>
  <c r="DX78" i="5" s="1"/>
  <c r="EA78" i="5" s="1"/>
  <c r="ED78" i="5" s="1"/>
  <c r="EG78" i="5" s="1"/>
  <c r="DF77" i="5"/>
  <c r="DF76" i="5"/>
  <c r="DI76" i="5" s="1"/>
  <c r="DL76" i="5" s="1"/>
  <c r="DO76" i="5" s="1"/>
  <c r="DR76" i="5" s="1"/>
  <c r="DU76" i="5" s="1"/>
  <c r="DX76" i="5" s="1"/>
  <c r="EA76" i="5" s="1"/>
  <c r="ED76" i="5" s="1"/>
  <c r="EG76" i="5" s="1"/>
  <c r="DF75" i="5"/>
  <c r="DI75" i="5" s="1"/>
  <c r="DL75" i="5" s="1"/>
  <c r="DO75" i="5" s="1"/>
  <c r="DR75" i="5" s="1"/>
  <c r="DU75" i="5" s="1"/>
  <c r="DX75" i="5" s="1"/>
  <c r="EA75" i="5" s="1"/>
  <c r="ED75" i="5" s="1"/>
  <c r="EG75" i="5" s="1"/>
  <c r="DF72" i="5"/>
  <c r="DI72" i="5" s="1"/>
  <c r="DL72" i="5" s="1"/>
  <c r="DO72" i="5" s="1"/>
  <c r="DR72" i="5" s="1"/>
  <c r="DU72" i="5" s="1"/>
  <c r="DX72" i="5" s="1"/>
  <c r="EA72" i="5" s="1"/>
  <c r="ED72" i="5" s="1"/>
  <c r="EG72" i="5" s="1"/>
  <c r="DE70" i="5"/>
  <c r="DF67" i="5"/>
  <c r="DI67" i="5" s="1"/>
  <c r="DL67" i="5" s="1"/>
  <c r="DO67" i="5" s="1"/>
  <c r="DR67" i="5" s="1"/>
  <c r="DU67" i="5" s="1"/>
  <c r="DX67" i="5" s="1"/>
  <c r="EA67" i="5" s="1"/>
  <c r="ED67" i="5" s="1"/>
  <c r="EG67" i="5" s="1"/>
  <c r="DF48" i="5"/>
  <c r="DI48" i="5" s="1"/>
  <c r="DE43" i="5"/>
  <c r="DF40" i="5"/>
  <c r="DI40" i="5" s="1"/>
  <c r="DF32" i="5"/>
  <c r="DI32" i="5" s="1"/>
  <c r="DL32" i="5" s="1"/>
  <c r="DO32" i="5" s="1"/>
  <c r="DE31" i="5"/>
  <c r="DF26" i="5"/>
  <c r="DE25" i="5"/>
  <c r="DE24" i="5"/>
  <c r="DE23" i="5"/>
  <c r="DF20" i="5"/>
  <c r="DI20" i="5" s="1"/>
  <c r="DL20" i="5" s="1"/>
  <c r="DO20" i="5" s="1"/>
  <c r="DR20" i="5" s="1"/>
  <c r="DU20" i="5" s="1"/>
  <c r="DX20" i="5" s="1"/>
  <c r="EA20" i="5" s="1"/>
  <c r="ED20" i="5" s="1"/>
  <c r="EG20" i="5" s="1"/>
  <c r="DF14" i="5"/>
  <c r="DF12" i="5"/>
  <c r="DE8" i="5"/>
  <c r="DF5" i="5"/>
  <c r="CV78" i="4"/>
  <c r="CY78" i="4" s="1"/>
  <c r="DB78" i="4" s="1"/>
  <c r="DE78" i="4" s="1"/>
  <c r="DH78" i="4" s="1"/>
  <c r="DK78" i="4" s="1"/>
  <c r="DN78" i="4" s="1"/>
  <c r="DQ78" i="4" s="1"/>
  <c r="CV116" i="4"/>
  <c r="CV115" i="4"/>
  <c r="CY115" i="4" s="1"/>
  <c r="DB115" i="4" s="1"/>
  <c r="DE115" i="4" s="1"/>
  <c r="DH115" i="4" s="1"/>
  <c r="DK115" i="4" s="1"/>
  <c r="DN115" i="4" s="1"/>
  <c r="DQ115" i="4" s="1"/>
  <c r="CV114" i="4"/>
  <c r="CY114" i="4" s="1"/>
  <c r="DB114" i="4" s="1"/>
  <c r="DE114" i="4" s="1"/>
  <c r="DH114" i="4" s="1"/>
  <c r="DK114" i="4" s="1"/>
  <c r="DN114" i="4" s="1"/>
  <c r="DQ114" i="4" s="1"/>
  <c r="CV113" i="4"/>
  <c r="CY113" i="4" s="1"/>
  <c r="DB113" i="4" s="1"/>
  <c r="DE113" i="4" s="1"/>
  <c r="DH113" i="4" s="1"/>
  <c r="DK113" i="4" s="1"/>
  <c r="DN113" i="4" s="1"/>
  <c r="DQ113" i="4" s="1"/>
  <c r="CV112" i="4"/>
  <c r="CY112" i="4" s="1"/>
  <c r="DB112" i="4" s="1"/>
  <c r="DE112" i="4" s="1"/>
  <c r="DH112" i="4" s="1"/>
  <c r="DK112" i="4" s="1"/>
  <c r="DN112" i="4" s="1"/>
  <c r="DQ112" i="4" s="1"/>
  <c r="CV111" i="4"/>
  <c r="CY111" i="4" s="1"/>
  <c r="DB111" i="4" s="1"/>
  <c r="DE111" i="4" s="1"/>
  <c r="DH111" i="4" s="1"/>
  <c r="DK111" i="4" s="1"/>
  <c r="DN111" i="4" s="1"/>
  <c r="DQ111" i="4" s="1"/>
  <c r="CV109" i="4"/>
  <c r="CY109" i="4" s="1"/>
  <c r="DB109" i="4" s="1"/>
  <c r="DE109" i="4" s="1"/>
  <c r="DH109" i="4" s="1"/>
  <c r="DK109" i="4" s="1"/>
  <c r="DN109" i="4" s="1"/>
  <c r="DQ109" i="4" s="1"/>
  <c r="CV108" i="4"/>
  <c r="CY108" i="4" s="1"/>
  <c r="DB108" i="4" s="1"/>
  <c r="DE108" i="4" s="1"/>
  <c r="DH108" i="4" s="1"/>
  <c r="DK108" i="4" s="1"/>
  <c r="DN108" i="4" s="1"/>
  <c r="DQ108" i="4" s="1"/>
  <c r="CV107" i="4"/>
  <c r="CY107" i="4" s="1"/>
  <c r="DB107" i="4" s="1"/>
  <c r="DE107" i="4" s="1"/>
  <c r="DH107" i="4" s="1"/>
  <c r="DK107" i="4" s="1"/>
  <c r="DN107" i="4" s="1"/>
  <c r="DQ107" i="4" s="1"/>
  <c r="CV106" i="4"/>
  <c r="CY106" i="4" s="1"/>
  <c r="DB106" i="4" s="1"/>
  <c r="DE106" i="4" s="1"/>
  <c r="DH106" i="4" s="1"/>
  <c r="DK106" i="4" s="1"/>
  <c r="DN106" i="4" s="1"/>
  <c r="DQ106" i="4" s="1"/>
  <c r="CV105" i="4"/>
  <c r="CY105" i="4" s="1"/>
  <c r="DB105" i="4" s="1"/>
  <c r="DE105" i="4" s="1"/>
  <c r="DH105" i="4" s="1"/>
  <c r="DK105" i="4" s="1"/>
  <c r="DN105" i="4" s="1"/>
  <c r="DQ105" i="4" s="1"/>
  <c r="CV97" i="4"/>
  <c r="CV96" i="4"/>
  <c r="CY96" i="4" s="1"/>
  <c r="DB96" i="4" s="1"/>
  <c r="DE96" i="4" s="1"/>
  <c r="DH96" i="4" s="1"/>
  <c r="DK96" i="4" s="1"/>
  <c r="DN96" i="4" s="1"/>
  <c r="DQ96" i="4" s="1"/>
  <c r="CV94" i="4"/>
  <c r="CY94" i="4" s="1"/>
  <c r="DB94" i="4" s="1"/>
  <c r="DE94" i="4" s="1"/>
  <c r="DH94" i="4" s="1"/>
  <c r="DK94" i="4" s="1"/>
  <c r="DN94" i="4" s="1"/>
  <c r="DQ94" i="4" s="1"/>
  <c r="CV93" i="4"/>
  <c r="CY93" i="4" s="1"/>
  <c r="DB93" i="4" s="1"/>
  <c r="DE93" i="4" s="1"/>
  <c r="DH93" i="4" s="1"/>
  <c r="DK93" i="4" s="1"/>
  <c r="DN93" i="4" s="1"/>
  <c r="DQ93" i="4" s="1"/>
  <c r="CV92" i="4"/>
  <c r="CY92" i="4" s="1"/>
  <c r="DB92" i="4" s="1"/>
  <c r="DE92" i="4" s="1"/>
  <c r="DH92" i="4" s="1"/>
  <c r="DK92" i="4" s="1"/>
  <c r="DN92" i="4" s="1"/>
  <c r="DQ92" i="4" s="1"/>
  <c r="CV90" i="4"/>
  <c r="CY90" i="4" s="1"/>
  <c r="DB90" i="4" s="1"/>
  <c r="DE90" i="4" s="1"/>
  <c r="DH90" i="4" s="1"/>
  <c r="DK90" i="4" s="1"/>
  <c r="DN90" i="4" s="1"/>
  <c r="DQ90" i="4" s="1"/>
  <c r="CV89" i="4"/>
  <c r="CY89" i="4" s="1"/>
  <c r="DB89" i="4" s="1"/>
  <c r="DE89" i="4" s="1"/>
  <c r="DH89" i="4" s="1"/>
  <c r="DK89" i="4" s="1"/>
  <c r="DN89" i="4" s="1"/>
  <c r="DQ89" i="4" s="1"/>
  <c r="CV88" i="4"/>
  <c r="CY88" i="4" s="1"/>
  <c r="DB88" i="4" s="1"/>
  <c r="DE88" i="4" s="1"/>
  <c r="DH88" i="4" s="1"/>
  <c r="DK88" i="4" s="1"/>
  <c r="DN88" i="4" s="1"/>
  <c r="CV76" i="4"/>
  <c r="CY76" i="4" s="1"/>
  <c r="DB76" i="4" s="1"/>
  <c r="DE76" i="4" s="1"/>
  <c r="DH76" i="4" s="1"/>
  <c r="DK76" i="4" s="1"/>
  <c r="DN76" i="4" s="1"/>
  <c r="DQ76" i="4" s="1"/>
  <c r="CV71" i="4"/>
  <c r="CY71" i="4" s="1"/>
  <c r="DB71" i="4" s="1"/>
  <c r="DE71" i="4" s="1"/>
  <c r="DH71" i="4" s="1"/>
  <c r="DK71" i="4" s="1"/>
  <c r="DN71" i="4" s="1"/>
  <c r="DQ71" i="4" s="1"/>
  <c r="CV67" i="4"/>
  <c r="CY67" i="4" s="1"/>
  <c r="DB67" i="4" s="1"/>
  <c r="DE67" i="4" s="1"/>
  <c r="DH67" i="4" s="1"/>
  <c r="DK67" i="4" s="1"/>
  <c r="DN67" i="4" s="1"/>
  <c r="DQ67" i="4" s="1"/>
  <c r="CV66" i="4"/>
  <c r="CY66" i="4" s="1"/>
  <c r="DB66" i="4" s="1"/>
  <c r="DE66" i="4" s="1"/>
  <c r="DH66" i="4" s="1"/>
  <c r="DK66" i="4" s="1"/>
  <c r="DN66" i="4" s="1"/>
  <c r="DQ66" i="4" s="1"/>
  <c r="CV40" i="4"/>
  <c r="CY40" i="4" s="1"/>
  <c r="DB40" i="4" s="1"/>
  <c r="DE40" i="4" s="1"/>
  <c r="DH40" i="4" s="1"/>
  <c r="DK40" i="4" s="1"/>
  <c r="DN40" i="4" s="1"/>
  <c r="DQ40" i="4" s="1"/>
  <c r="CV37" i="4"/>
  <c r="CY37" i="4" s="1"/>
  <c r="DB37" i="4" s="1"/>
  <c r="DE37" i="4" s="1"/>
  <c r="DH37" i="4" s="1"/>
  <c r="DK37" i="4" s="1"/>
  <c r="DN37" i="4" s="1"/>
  <c r="DQ37" i="4" s="1"/>
  <c r="CV31" i="4"/>
  <c r="CY31" i="4" s="1"/>
  <c r="DB31" i="4" s="1"/>
  <c r="DE31" i="4" s="1"/>
  <c r="DH31" i="4" s="1"/>
  <c r="DK31" i="4" s="1"/>
  <c r="DN31" i="4" s="1"/>
  <c r="DQ31" i="4" s="1"/>
  <c r="CV30" i="4"/>
  <c r="CY30" i="4" s="1"/>
  <c r="DB30" i="4" s="1"/>
  <c r="DE30" i="4" s="1"/>
  <c r="DH30" i="4" s="1"/>
  <c r="DK30" i="4" s="1"/>
  <c r="DN30" i="4" s="1"/>
  <c r="DQ30" i="4" s="1"/>
  <c r="CV29" i="4"/>
  <c r="CY29" i="4" s="1"/>
  <c r="DB29" i="4" s="1"/>
  <c r="DE29" i="4" s="1"/>
  <c r="DH29" i="4" s="1"/>
  <c r="DK29" i="4" s="1"/>
  <c r="DN29" i="4" s="1"/>
  <c r="DQ29" i="4" s="1"/>
  <c r="CV28" i="4"/>
  <c r="CY28" i="4" s="1"/>
  <c r="DB28" i="4" s="1"/>
  <c r="DE28" i="4" s="1"/>
  <c r="DH28" i="4" s="1"/>
  <c r="DK28" i="4" s="1"/>
  <c r="DN28" i="4" s="1"/>
  <c r="CV27" i="4"/>
  <c r="CV25" i="4"/>
  <c r="CY25" i="4" s="1"/>
  <c r="DB25" i="4" s="1"/>
  <c r="DE25" i="4" s="1"/>
  <c r="DH25" i="4" s="1"/>
  <c r="DK25" i="4" s="1"/>
  <c r="DN25" i="4" s="1"/>
  <c r="DQ25" i="4" s="1"/>
  <c r="CV24" i="4"/>
  <c r="CY24" i="4" s="1"/>
  <c r="DB24" i="4" s="1"/>
  <c r="DE24" i="4" s="1"/>
  <c r="DH24" i="4" s="1"/>
  <c r="DK24" i="4" s="1"/>
  <c r="CV6" i="4"/>
  <c r="CY6" i="4" s="1"/>
  <c r="DB6" i="4" s="1"/>
  <c r="DE6" i="4" s="1"/>
  <c r="DH6" i="4" s="1"/>
  <c r="DK6" i="4" s="1"/>
  <c r="DN6" i="4" s="1"/>
  <c r="DQ6" i="4" s="1"/>
  <c r="CV7" i="4"/>
  <c r="CY7" i="4" s="1"/>
  <c r="DB7" i="4" s="1"/>
  <c r="DE7" i="4" s="1"/>
  <c r="DH7" i="4" s="1"/>
  <c r="DK7" i="4" s="1"/>
  <c r="DN7" i="4" s="1"/>
  <c r="DQ7" i="4" s="1"/>
  <c r="CV8" i="4"/>
  <c r="CY8" i="4" s="1"/>
  <c r="DB8" i="4" s="1"/>
  <c r="DE8" i="4" s="1"/>
  <c r="DH8" i="4" s="1"/>
  <c r="DK8" i="4" s="1"/>
  <c r="DN8" i="4" s="1"/>
  <c r="DQ8" i="4" s="1"/>
  <c r="CV9" i="4"/>
  <c r="CY9" i="4" s="1"/>
  <c r="DB9" i="4" s="1"/>
  <c r="DE9" i="4" s="1"/>
  <c r="DH9" i="4" s="1"/>
  <c r="DK9" i="4" s="1"/>
  <c r="DN9" i="4" s="1"/>
  <c r="DQ9" i="4" s="1"/>
  <c r="CV10" i="4"/>
  <c r="CY10" i="4" s="1"/>
  <c r="DB10" i="4" s="1"/>
  <c r="DE10" i="4" s="1"/>
  <c r="DH10" i="4" s="1"/>
  <c r="DK10" i="4" s="1"/>
  <c r="DN10" i="4" s="1"/>
  <c r="DQ10" i="4" s="1"/>
  <c r="CV11" i="4"/>
  <c r="CY11" i="4" s="1"/>
  <c r="DB11" i="4" s="1"/>
  <c r="DE11" i="4" s="1"/>
  <c r="DH11" i="4" s="1"/>
  <c r="DK11" i="4" s="1"/>
  <c r="DN11" i="4" s="1"/>
  <c r="DQ11" i="4" s="1"/>
  <c r="CV12" i="4"/>
  <c r="CY12" i="4" s="1"/>
  <c r="DB12" i="4" s="1"/>
  <c r="DE12" i="4" s="1"/>
  <c r="DH12" i="4" s="1"/>
  <c r="DK12" i="4" s="1"/>
  <c r="DN12" i="4" s="1"/>
  <c r="DQ12" i="4" s="1"/>
  <c r="CV13" i="4"/>
  <c r="CY13" i="4" s="1"/>
  <c r="DB13" i="4" s="1"/>
  <c r="DE13" i="4" s="1"/>
  <c r="DH13" i="4" s="1"/>
  <c r="DK13" i="4" s="1"/>
  <c r="DN13" i="4" s="1"/>
  <c r="DQ13" i="4" s="1"/>
  <c r="CV15" i="4"/>
  <c r="CY15" i="4" s="1"/>
  <c r="DB15" i="4" s="1"/>
  <c r="DE15" i="4" s="1"/>
  <c r="DH15" i="4" s="1"/>
  <c r="DK15" i="4" s="1"/>
  <c r="DN15" i="4" s="1"/>
  <c r="DQ15" i="4" s="1"/>
  <c r="CV16" i="4"/>
  <c r="CY16" i="4" s="1"/>
  <c r="DB16" i="4" s="1"/>
  <c r="DE16" i="4" s="1"/>
  <c r="DH16" i="4" s="1"/>
  <c r="DK16" i="4" s="1"/>
  <c r="DN16" i="4" s="1"/>
  <c r="DQ16" i="4" s="1"/>
  <c r="CV17" i="4"/>
  <c r="CY17" i="4" s="1"/>
  <c r="DB17" i="4" s="1"/>
  <c r="DE17" i="4" s="1"/>
  <c r="DH17" i="4" s="1"/>
  <c r="DK17" i="4" s="1"/>
  <c r="DN17" i="4" s="1"/>
  <c r="DQ17" i="4" s="1"/>
  <c r="CV18" i="4"/>
  <c r="CY18" i="4" s="1"/>
  <c r="DB18" i="4" s="1"/>
  <c r="DE18" i="4" s="1"/>
  <c r="DH18" i="4" s="1"/>
  <c r="DK18" i="4" s="1"/>
  <c r="DN18" i="4" s="1"/>
  <c r="DQ18" i="4" s="1"/>
  <c r="CV21" i="4"/>
  <c r="CY21" i="4" s="1"/>
  <c r="DB21" i="4" s="1"/>
  <c r="DE21" i="4" s="1"/>
  <c r="DH21" i="4" s="1"/>
  <c r="DK21" i="4" s="1"/>
  <c r="DN21" i="4" s="1"/>
  <c r="DQ21" i="4" s="1"/>
  <c r="CV5" i="4"/>
  <c r="CY5" i="4" s="1"/>
  <c r="DB5" i="4" s="1"/>
  <c r="DE5" i="4" s="1"/>
  <c r="DH5" i="4" s="1"/>
  <c r="DK5" i="4" s="1"/>
  <c r="CU126" i="4"/>
  <c r="CU35" i="4"/>
  <c r="H8" i="53" s="1"/>
  <c r="CU22" i="4"/>
  <c r="H5" i="53" s="1"/>
  <c r="F23" i="45"/>
  <c r="E23" i="45"/>
  <c r="D23" i="45"/>
  <c r="C23" i="45"/>
  <c r="F16" i="44"/>
  <c r="E16" i="44"/>
  <c r="D15" i="44"/>
  <c r="D16" i="44" s="1"/>
  <c r="C15" i="44"/>
  <c r="C16" i="44" s="1"/>
  <c r="C14" i="44"/>
  <c r="F11" i="44"/>
  <c r="F13" i="44" s="1"/>
  <c r="E11" i="44"/>
  <c r="E13" i="44" s="1"/>
  <c r="F10" i="44"/>
  <c r="E10" i="44"/>
  <c r="E11" i="15"/>
  <c r="D15" i="15"/>
  <c r="D16" i="15" s="1"/>
  <c r="C14" i="15"/>
  <c r="C15" i="15"/>
  <c r="C16" i="15" s="1"/>
  <c r="FO184" i="5" l="1"/>
  <c r="FL357" i="5"/>
  <c r="FL203" i="5"/>
  <c r="FL350" i="5" s="1"/>
  <c r="D14" i="63"/>
  <c r="F17" i="44"/>
  <c r="DI294" i="5"/>
  <c r="H9" i="53"/>
  <c r="DQ88" i="4"/>
  <c r="K14" i="52"/>
  <c r="K25" i="52" s="1"/>
  <c r="K16" i="53"/>
  <c r="K25" i="53"/>
  <c r="K14" i="51"/>
  <c r="K25" i="51" s="1"/>
  <c r="DN24" i="4"/>
  <c r="DQ24" i="4" s="1"/>
  <c r="H5" i="51"/>
  <c r="H5" i="52"/>
  <c r="H8" i="51"/>
  <c r="H8" i="52"/>
  <c r="DN5" i="4"/>
  <c r="DQ5" i="4" s="1"/>
  <c r="DK126" i="4"/>
  <c r="K14" i="50"/>
  <c r="K25" i="50" s="1"/>
  <c r="DH126" i="4"/>
  <c r="DF24" i="5"/>
  <c r="H8" i="48"/>
  <c r="H8" i="50"/>
  <c r="H8" i="49"/>
  <c r="DE126" i="4"/>
  <c r="H5" i="48"/>
  <c r="H5" i="50"/>
  <c r="H5" i="49"/>
  <c r="K14" i="49"/>
  <c r="K16" i="49" s="1"/>
  <c r="DR337" i="5"/>
  <c r="DO347" i="5"/>
  <c r="DO37" i="5"/>
  <c r="DR32" i="5"/>
  <c r="K14" i="48"/>
  <c r="K16" i="48" s="1"/>
  <c r="DL205" i="5"/>
  <c r="DO198" i="5"/>
  <c r="K14" i="47"/>
  <c r="K16" i="47" s="1"/>
  <c r="DB126" i="4"/>
  <c r="DL347" i="5"/>
  <c r="DI159" i="5"/>
  <c r="DL158" i="5"/>
  <c r="DI119" i="5"/>
  <c r="DL115" i="5"/>
  <c r="DE353" i="5"/>
  <c r="H13" i="53" s="1"/>
  <c r="DI336" i="5"/>
  <c r="DL332" i="5"/>
  <c r="DI43" i="5"/>
  <c r="DL40" i="5"/>
  <c r="DI103" i="5"/>
  <c r="DL102" i="5"/>
  <c r="DI24" i="5"/>
  <c r="DL13" i="5"/>
  <c r="DF205" i="5"/>
  <c r="DI214" i="5"/>
  <c r="DL213" i="5"/>
  <c r="DF43" i="5"/>
  <c r="DF214" i="5"/>
  <c r="DI70" i="5"/>
  <c r="DL48" i="5"/>
  <c r="DL37" i="5"/>
  <c r="DI278" i="5"/>
  <c r="DL272" i="5"/>
  <c r="DF8" i="5"/>
  <c r="DI5" i="5"/>
  <c r="DF156" i="5"/>
  <c r="DI153" i="5"/>
  <c r="DF247" i="5"/>
  <c r="DI243" i="5"/>
  <c r="DE350" i="5"/>
  <c r="DF23" i="5"/>
  <c r="DI12" i="5"/>
  <c r="DF216" i="5"/>
  <c r="DI215" i="5"/>
  <c r="DF241" i="5"/>
  <c r="DI228" i="5"/>
  <c r="DI240" i="5" s="1"/>
  <c r="DI181" i="5"/>
  <c r="DL181" i="5" s="1"/>
  <c r="DO181" i="5" s="1"/>
  <c r="DR181" i="5" s="1"/>
  <c r="DU181" i="5" s="1"/>
  <c r="DX181" i="5" s="1"/>
  <c r="EA181" i="5" s="1"/>
  <c r="ED181" i="5" s="1"/>
  <c r="EG181" i="5" s="1"/>
  <c r="DF147" i="5"/>
  <c r="DI143" i="5"/>
  <c r="DF167" i="5"/>
  <c r="DI161" i="5"/>
  <c r="DF336" i="5"/>
  <c r="DF347" i="5"/>
  <c r="DF70" i="5"/>
  <c r="DF168" i="5"/>
  <c r="DI162" i="5"/>
  <c r="DF331" i="5"/>
  <c r="DI325" i="5"/>
  <c r="DF37" i="5"/>
  <c r="DE351" i="5"/>
  <c r="DF312" i="5"/>
  <c r="DI300" i="5"/>
  <c r="DI347" i="5"/>
  <c r="DF119" i="5"/>
  <c r="DF180" i="5"/>
  <c r="DI176" i="5"/>
  <c r="DF132" i="5"/>
  <c r="DI125" i="5"/>
  <c r="DF118" i="5"/>
  <c r="DI113" i="5"/>
  <c r="DF242" i="5"/>
  <c r="DI237" i="5"/>
  <c r="DI140" i="5"/>
  <c r="DL140" i="5" s="1"/>
  <c r="DO140" i="5" s="1"/>
  <c r="DR140" i="5" s="1"/>
  <c r="DU140" i="5" s="1"/>
  <c r="DX140" i="5" s="1"/>
  <c r="EA140" i="5" s="1"/>
  <c r="ED140" i="5" s="1"/>
  <c r="EG140" i="5" s="1"/>
  <c r="DF31" i="5"/>
  <c r="DI26" i="5"/>
  <c r="DF320" i="5"/>
  <c r="DI317" i="5"/>
  <c r="DF278" i="5"/>
  <c r="DF160" i="5"/>
  <c r="DI157" i="5"/>
  <c r="DF25" i="5"/>
  <c r="DI14" i="5"/>
  <c r="H5" i="47"/>
  <c r="H5" i="46"/>
  <c r="CY116" i="4"/>
  <c r="CV122" i="4"/>
  <c r="I6" i="53" s="1"/>
  <c r="DF84" i="5"/>
  <c r="DI77" i="5"/>
  <c r="DF97" i="5"/>
  <c r="DI94" i="5"/>
  <c r="DF155" i="5"/>
  <c r="DI149" i="5"/>
  <c r="DF212" i="5"/>
  <c r="DI206" i="5"/>
  <c r="DF159" i="5"/>
  <c r="DF103" i="5"/>
  <c r="DF204" i="5"/>
  <c r="DI194" i="5"/>
  <c r="H8" i="46"/>
  <c r="H8" i="47"/>
  <c r="CY97" i="4"/>
  <c r="CV99" i="4"/>
  <c r="I7" i="53" s="1"/>
  <c r="DI37" i="5"/>
  <c r="DF324" i="5"/>
  <c r="DI321" i="5"/>
  <c r="DI205" i="5"/>
  <c r="DI314" i="5"/>
  <c r="DL314" i="5" s="1"/>
  <c r="DO314" i="5" s="1"/>
  <c r="CY126" i="4"/>
  <c r="CV35" i="4"/>
  <c r="I8" i="53" s="1"/>
  <c r="CY27" i="4"/>
  <c r="DF240" i="5"/>
  <c r="DF131" i="5"/>
  <c r="DF117" i="5"/>
  <c r="DF96" i="5"/>
  <c r="CU124" i="4"/>
  <c r="CU1" i="4" s="1"/>
  <c r="CV126" i="4"/>
  <c r="E17" i="44"/>
  <c r="F23" i="14"/>
  <c r="DC142" i="5"/>
  <c r="DF142" i="5" s="1"/>
  <c r="DI142" i="5" s="1"/>
  <c r="DL142" i="5" s="1"/>
  <c r="DO142" i="5" s="1"/>
  <c r="DR142" i="5" s="1"/>
  <c r="DU142" i="5" s="1"/>
  <c r="DX142" i="5" s="1"/>
  <c r="EA142" i="5" s="1"/>
  <c r="ED142" i="5" s="1"/>
  <c r="EG142" i="5" s="1"/>
  <c r="DC117" i="5"/>
  <c r="DC119" i="5"/>
  <c r="DC172" i="5"/>
  <c r="DF172" i="5" s="1"/>
  <c r="DI172" i="5" s="1"/>
  <c r="R12" i="61" l="1"/>
  <c r="R14" i="61" s="1"/>
  <c r="FL355" i="5"/>
  <c r="FL1" i="5" s="1"/>
  <c r="FO357" i="5"/>
  <c r="FO203" i="5"/>
  <c r="FO350" i="5" s="1"/>
  <c r="FO355" i="5" s="1"/>
  <c r="FO1" i="5" s="1"/>
  <c r="D29" i="63"/>
  <c r="D16" i="63"/>
  <c r="K16" i="52"/>
  <c r="H9" i="52"/>
  <c r="H9" i="51"/>
  <c r="DL294" i="5"/>
  <c r="DQ126" i="4"/>
  <c r="K16" i="51"/>
  <c r="H12" i="52"/>
  <c r="H12" i="53"/>
  <c r="H14" i="53" s="1"/>
  <c r="DN126" i="4"/>
  <c r="I7" i="51"/>
  <c r="I7" i="52"/>
  <c r="I6" i="51"/>
  <c r="I6" i="52"/>
  <c r="I8" i="51"/>
  <c r="I8" i="52"/>
  <c r="K16" i="50"/>
  <c r="H13" i="51"/>
  <c r="H13" i="52"/>
  <c r="H12" i="50"/>
  <c r="H12" i="51"/>
  <c r="DR37" i="5"/>
  <c r="DU32" i="5"/>
  <c r="DR347" i="5"/>
  <c r="DU337" i="5"/>
  <c r="H9" i="49"/>
  <c r="H9" i="48"/>
  <c r="H9" i="50"/>
  <c r="I7" i="48"/>
  <c r="I7" i="50"/>
  <c r="I7" i="49"/>
  <c r="I6" i="48"/>
  <c r="I6" i="50"/>
  <c r="I6" i="49"/>
  <c r="I8" i="48"/>
  <c r="I8" i="50"/>
  <c r="I8" i="49"/>
  <c r="K25" i="49"/>
  <c r="H13" i="49"/>
  <c r="H13" i="50"/>
  <c r="K25" i="48"/>
  <c r="K25" i="47"/>
  <c r="DO205" i="5"/>
  <c r="DR198" i="5"/>
  <c r="DR314" i="5"/>
  <c r="DU314" i="5" s="1"/>
  <c r="DX314" i="5" s="1"/>
  <c r="EA314" i="5" s="1"/>
  <c r="ED314" i="5" s="1"/>
  <c r="EG314" i="5" s="1"/>
  <c r="DO316" i="5"/>
  <c r="DL24" i="5"/>
  <c r="DO13" i="5"/>
  <c r="DL278" i="5"/>
  <c r="DO272" i="5"/>
  <c r="DL103" i="5"/>
  <c r="DO102" i="5"/>
  <c r="DL43" i="5"/>
  <c r="DO40" i="5"/>
  <c r="DL70" i="5"/>
  <c r="DO48" i="5"/>
  <c r="DL336" i="5"/>
  <c r="DO332" i="5"/>
  <c r="DL159" i="5"/>
  <c r="DO158" i="5"/>
  <c r="H12" i="48"/>
  <c r="H12" i="49"/>
  <c r="DL214" i="5"/>
  <c r="DO213" i="5"/>
  <c r="DL119" i="5"/>
  <c r="DO115" i="5"/>
  <c r="H13" i="47"/>
  <c r="H13" i="48"/>
  <c r="CY122" i="4"/>
  <c r="L6" i="53" s="1"/>
  <c r="DB116" i="4"/>
  <c r="CY99" i="4"/>
  <c r="L7" i="53" s="1"/>
  <c r="DB97" i="4"/>
  <c r="CY35" i="4"/>
  <c r="L8" i="53" s="1"/>
  <c r="DB27" i="4"/>
  <c r="H13" i="46"/>
  <c r="DI241" i="5"/>
  <c r="DL228" i="5"/>
  <c r="DI324" i="5"/>
  <c r="DL321" i="5"/>
  <c r="DI8" i="5"/>
  <c r="DL5" i="5"/>
  <c r="DI155" i="5"/>
  <c r="DL149" i="5"/>
  <c r="DO149" i="5" s="1"/>
  <c r="DR149" i="5" s="1"/>
  <c r="DU149" i="5" s="1"/>
  <c r="DX149" i="5" s="1"/>
  <c r="EA149" i="5" s="1"/>
  <c r="ED149" i="5" s="1"/>
  <c r="EG149" i="5" s="1"/>
  <c r="DI168" i="5"/>
  <c r="DL162" i="5"/>
  <c r="DI216" i="5"/>
  <c r="DL215" i="5"/>
  <c r="DF353" i="5"/>
  <c r="DI160" i="5"/>
  <c r="DL157" i="5"/>
  <c r="DI180" i="5"/>
  <c r="DL176" i="5"/>
  <c r="DI179" i="5"/>
  <c r="DL172" i="5"/>
  <c r="DI84" i="5"/>
  <c r="DL77" i="5"/>
  <c r="DI23" i="5"/>
  <c r="DL12" i="5"/>
  <c r="DI320" i="5"/>
  <c r="DL317" i="5"/>
  <c r="DI31" i="5"/>
  <c r="DL26" i="5"/>
  <c r="DI97" i="5"/>
  <c r="DL94" i="5"/>
  <c r="DO94" i="5" s="1"/>
  <c r="DR94" i="5" s="1"/>
  <c r="DU94" i="5" s="1"/>
  <c r="DX94" i="5" s="1"/>
  <c r="EA94" i="5" s="1"/>
  <c r="ED94" i="5" s="1"/>
  <c r="EG94" i="5" s="1"/>
  <c r="EG96" i="5" s="1"/>
  <c r="DF351" i="5"/>
  <c r="DI204" i="5"/>
  <c r="DL194" i="5"/>
  <c r="DI312" i="5"/>
  <c r="DL300" i="5"/>
  <c r="DI167" i="5"/>
  <c r="DL161" i="5"/>
  <c r="DI132" i="5"/>
  <c r="DL125" i="5"/>
  <c r="DO125" i="5" s="1"/>
  <c r="DR125" i="5" s="1"/>
  <c r="DU125" i="5" s="1"/>
  <c r="DX125" i="5" s="1"/>
  <c r="EA125" i="5" s="1"/>
  <c r="ED125" i="5" s="1"/>
  <c r="EG125" i="5" s="1"/>
  <c r="DI247" i="5"/>
  <c r="DL243" i="5"/>
  <c r="DI242" i="5"/>
  <c r="DL237" i="5"/>
  <c r="DI156" i="5"/>
  <c r="DL153" i="5"/>
  <c r="DI147" i="5"/>
  <c r="DL143" i="5"/>
  <c r="DL316" i="5"/>
  <c r="DI212" i="5"/>
  <c r="DL206" i="5"/>
  <c r="DI25" i="5"/>
  <c r="DL14" i="5"/>
  <c r="DI118" i="5"/>
  <c r="DL113" i="5"/>
  <c r="DO113" i="5" s="1"/>
  <c r="DR113" i="5" s="1"/>
  <c r="DU113" i="5" s="1"/>
  <c r="DX113" i="5" s="1"/>
  <c r="EA113" i="5" s="1"/>
  <c r="ED113" i="5" s="1"/>
  <c r="EG113" i="5" s="1"/>
  <c r="DI331" i="5"/>
  <c r="DL325" i="5"/>
  <c r="DI117" i="5"/>
  <c r="H12" i="47"/>
  <c r="H12" i="46"/>
  <c r="I7" i="46"/>
  <c r="I7" i="47"/>
  <c r="DE355" i="5"/>
  <c r="DE1" i="5" s="1"/>
  <c r="DI316" i="5"/>
  <c r="I6" i="46"/>
  <c r="I6" i="47"/>
  <c r="DI146" i="5"/>
  <c r="DI131" i="5"/>
  <c r="DF179" i="5"/>
  <c r="H9" i="46"/>
  <c r="DF146" i="5"/>
  <c r="H9" i="47"/>
  <c r="DI96" i="5"/>
  <c r="I8" i="46"/>
  <c r="I8" i="47"/>
  <c r="DC285" i="5"/>
  <c r="DC282" i="5"/>
  <c r="DC281" i="5"/>
  <c r="DF281" i="5" s="1"/>
  <c r="C3" i="43"/>
  <c r="C4" i="43"/>
  <c r="C5" i="43"/>
  <c r="C6" i="43"/>
  <c r="C2" i="43"/>
  <c r="DC190" i="5"/>
  <c r="DF190" i="5" s="1"/>
  <c r="DI190" i="5" s="1"/>
  <c r="DL190" i="5" s="1"/>
  <c r="DO190" i="5" s="1"/>
  <c r="DR190" i="5" s="1"/>
  <c r="DU190" i="5" s="1"/>
  <c r="DX190" i="5" s="1"/>
  <c r="EA190" i="5" s="1"/>
  <c r="ED190" i="5" s="1"/>
  <c r="EG190" i="5" s="1"/>
  <c r="DC184" i="5"/>
  <c r="DF184" i="5" s="1"/>
  <c r="DI184" i="5" s="1"/>
  <c r="DL184" i="5" s="1"/>
  <c r="DO184" i="5" s="1"/>
  <c r="DR184" i="5" s="1"/>
  <c r="DU184" i="5" s="1"/>
  <c r="DX184" i="5" s="1"/>
  <c r="EA184" i="5" s="1"/>
  <c r="DC183" i="5"/>
  <c r="DF183" i="5" s="1"/>
  <c r="R16" i="61" l="1"/>
  <c r="R27" i="61"/>
  <c r="C7" i="43"/>
  <c r="DF282" i="5"/>
  <c r="DI282" i="5" s="1"/>
  <c r="DL282" i="5" s="1"/>
  <c r="DO282" i="5" s="1"/>
  <c r="DR282" i="5" s="1"/>
  <c r="DU282" i="5" s="1"/>
  <c r="DX282" i="5" s="1"/>
  <c r="EA282" i="5" s="1"/>
  <c r="ED282" i="5" s="1"/>
  <c r="EG282" i="5" s="1"/>
  <c r="DC357" i="5"/>
  <c r="DO294" i="5"/>
  <c r="H14" i="52"/>
  <c r="H16" i="52" s="1"/>
  <c r="I13" i="52"/>
  <c r="I13" i="53"/>
  <c r="EG132" i="5"/>
  <c r="EG131" i="5"/>
  <c r="EG316" i="5"/>
  <c r="H16" i="53"/>
  <c r="H25" i="53"/>
  <c r="EG97" i="5"/>
  <c r="EG118" i="5"/>
  <c r="EG117" i="5"/>
  <c r="L8" i="51"/>
  <c r="L8" i="52"/>
  <c r="L7" i="51"/>
  <c r="L7" i="52"/>
  <c r="L6" i="51"/>
  <c r="L6" i="52"/>
  <c r="ED184" i="5"/>
  <c r="EG184" i="5" s="1"/>
  <c r="ED316" i="5"/>
  <c r="ED118" i="5"/>
  <c r="ED117" i="5"/>
  <c r="ED97" i="5"/>
  <c r="ED96" i="5"/>
  <c r="ED132" i="5"/>
  <c r="ED131" i="5"/>
  <c r="EA132" i="5"/>
  <c r="EA131" i="5"/>
  <c r="EA316" i="5"/>
  <c r="EA118" i="5"/>
  <c r="EA117" i="5"/>
  <c r="EA97" i="5"/>
  <c r="EA96" i="5"/>
  <c r="DU347" i="5"/>
  <c r="DX337" i="5"/>
  <c r="DU37" i="5"/>
  <c r="DX32" i="5"/>
  <c r="DX316" i="5"/>
  <c r="H14" i="51"/>
  <c r="H16" i="51" s="1"/>
  <c r="DX97" i="5"/>
  <c r="DX96" i="5"/>
  <c r="DX118" i="5"/>
  <c r="DX117" i="5"/>
  <c r="DX132" i="5"/>
  <c r="DX131" i="5"/>
  <c r="H14" i="50"/>
  <c r="H16" i="50" s="1"/>
  <c r="H14" i="48"/>
  <c r="H25" i="48" s="1"/>
  <c r="DU132" i="5"/>
  <c r="DU131" i="5"/>
  <c r="I13" i="50"/>
  <c r="I13" i="51"/>
  <c r="DU316" i="5"/>
  <c r="DU118" i="5"/>
  <c r="DU117" i="5"/>
  <c r="DU97" i="5"/>
  <c r="DU96" i="5"/>
  <c r="DR205" i="5"/>
  <c r="DU198" i="5"/>
  <c r="DB99" i="4"/>
  <c r="O7" i="53" s="1"/>
  <c r="DE97" i="4"/>
  <c r="L7" i="50"/>
  <c r="L7" i="49"/>
  <c r="DB35" i="4"/>
  <c r="O8" i="53" s="1"/>
  <c r="DE27" i="4"/>
  <c r="DB122" i="4"/>
  <c r="O6" i="53" s="1"/>
  <c r="DE116" i="4"/>
  <c r="L6" i="50"/>
  <c r="L6" i="49"/>
  <c r="L8" i="50"/>
  <c r="L8" i="49"/>
  <c r="H14" i="49"/>
  <c r="H16" i="49" s="1"/>
  <c r="DO278" i="5"/>
  <c r="DR272" i="5"/>
  <c r="DO159" i="5"/>
  <c r="DR158" i="5"/>
  <c r="DO24" i="5"/>
  <c r="DR13" i="5"/>
  <c r="DO336" i="5"/>
  <c r="DR332" i="5"/>
  <c r="DR118" i="5"/>
  <c r="DR117" i="5"/>
  <c r="DR97" i="5"/>
  <c r="DR96" i="5"/>
  <c r="DO70" i="5"/>
  <c r="DR48" i="5"/>
  <c r="DR316" i="5"/>
  <c r="DR132" i="5"/>
  <c r="DR131" i="5"/>
  <c r="DO119" i="5"/>
  <c r="DR115" i="5"/>
  <c r="DO43" i="5"/>
  <c r="DR40" i="5"/>
  <c r="DO214" i="5"/>
  <c r="DR213" i="5"/>
  <c r="DO103" i="5"/>
  <c r="DR102" i="5"/>
  <c r="H14" i="47"/>
  <c r="H25" i="47" s="1"/>
  <c r="DO132" i="5"/>
  <c r="DO131" i="5"/>
  <c r="DL240" i="5"/>
  <c r="DO228" i="5"/>
  <c r="DR228" i="5" s="1"/>
  <c r="DU228" i="5" s="1"/>
  <c r="DX228" i="5" s="1"/>
  <c r="EA228" i="5" s="1"/>
  <c r="ED228" i="5" s="1"/>
  <c r="EG228" i="5" s="1"/>
  <c r="DL167" i="5"/>
  <c r="DO161" i="5"/>
  <c r="DL216" i="5"/>
  <c r="DO215" i="5"/>
  <c r="DL312" i="5"/>
  <c r="DO300" i="5"/>
  <c r="DL168" i="5"/>
  <c r="DO162" i="5"/>
  <c r="I13" i="48"/>
  <c r="I13" i="49"/>
  <c r="DL23" i="5"/>
  <c r="DO12" i="5"/>
  <c r="DL147" i="5"/>
  <c r="DO143" i="5"/>
  <c r="DR143" i="5" s="1"/>
  <c r="DU143" i="5" s="1"/>
  <c r="DX143" i="5" s="1"/>
  <c r="EA143" i="5" s="1"/>
  <c r="ED143" i="5" s="1"/>
  <c r="EG143" i="5" s="1"/>
  <c r="DL84" i="5"/>
  <c r="DO77" i="5"/>
  <c r="DL204" i="5"/>
  <c r="DO194" i="5"/>
  <c r="DL156" i="5"/>
  <c r="DO153" i="5"/>
  <c r="DL331" i="5"/>
  <c r="DO325" i="5"/>
  <c r="DL179" i="5"/>
  <c r="DO172" i="5"/>
  <c r="DL8" i="5"/>
  <c r="DO5" i="5"/>
  <c r="DL180" i="5"/>
  <c r="DO176" i="5"/>
  <c r="DL212" i="5"/>
  <c r="DO206" i="5"/>
  <c r="DL242" i="5"/>
  <c r="DO237" i="5"/>
  <c r="DL320" i="5"/>
  <c r="DO317" i="5"/>
  <c r="DO118" i="5"/>
  <c r="DO117" i="5"/>
  <c r="DO97" i="5"/>
  <c r="DO96" i="5"/>
  <c r="DL247" i="5"/>
  <c r="DO243" i="5"/>
  <c r="DL324" i="5"/>
  <c r="DO321" i="5"/>
  <c r="DL25" i="5"/>
  <c r="DO14" i="5"/>
  <c r="DL31" i="5"/>
  <c r="DO26" i="5"/>
  <c r="DL160" i="5"/>
  <c r="DO157" i="5"/>
  <c r="H14" i="46"/>
  <c r="H16" i="46" s="1"/>
  <c r="I13" i="46"/>
  <c r="I13" i="47"/>
  <c r="L8" i="47"/>
  <c r="L8" i="48"/>
  <c r="L7" i="47"/>
  <c r="L7" i="48"/>
  <c r="L6" i="47"/>
  <c r="L6" i="48"/>
  <c r="DI353" i="5"/>
  <c r="L13" i="53" s="1"/>
  <c r="DL97" i="5"/>
  <c r="DL96" i="5"/>
  <c r="DL155" i="5"/>
  <c r="DI351" i="5"/>
  <c r="DL118" i="5"/>
  <c r="DL117" i="5"/>
  <c r="DL132" i="5"/>
  <c r="DL131" i="5"/>
  <c r="DL241" i="5"/>
  <c r="DL146" i="5"/>
  <c r="DI281" i="5"/>
  <c r="DL281" i="5" s="1"/>
  <c r="DO281" i="5" s="1"/>
  <c r="DR281" i="5" s="1"/>
  <c r="DU281" i="5" s="1"/>
  <c r="DX281" i="5" s="1"/>
  <c r="EA281" i="5" s="1"/>
  <c r="ED281" i="5" s="1"/>
  <c r="EG281" i="5" s="1"/>
  <c r="DF285" i="5"/>
  <c r="DF357" i="5" s="1"/>
  <c r="DI183" i="5"/>
  <c r="DF203" i="5"/>
  <c r="CS31" i="4"/>
  <c r="CS27" i="4"/>
  <c r="DR294" i="5" l="1"/>
  <c r="H25" i="52"/>
  <c r="EG147" i="5"/>
  <c r="EG146" i="5"/>
  <c r="EG241" i="5"/>
  <c r="EG240" i="5"/>
  <c r="O6" i="51"/>
  <c r="O6" i="52"/>
  <c r="O8" i="51"/>
  <c r="O8" i="52"/>
  <c r="O7" i="51"/>
  <c r="O7" i="52"/>
  <c r="ED147" i="5"/>
  <c r="ED146" i="5"/>
  <c r="ED241" i="5"/>
  <c r="ED240" i="5"/>
  <c r="DX347" i="5"/>
  <c r="EA337" i="5"/>
  <c r="ED337" i="5" s="1"/>
  <c r="EG337" i="5" s="1"/>
  <c r="EA147" i="5"/>
  <c r="EA146" i="5"/>
  <c r="EA241" i="5"/>
  <c r="EA240" i="5"/>
  <c r="DX37" i="5"/>
  <c r="EA32" i="5"/>
  <c r="H16" i="48"/>
  <c r="H25" i="50"/>
  <c r="H25" i="51"/>
  <c r="DU205" i="5"/>
  <c r="DX198" i="5"/>
  <c r="DX147" i="5"/>
  <c r="DX146" i="5"/>
  <c r="L13" i="51"/>
  <c r="L13" i="52"/>
  <c r="DX241" i="5"/>
  <c r="DX240" i="5"/>
  <c r="H25" i="49"/>
  <c r="DR336" i="5"/>
  <c r="DU332" i="5"/>
  <c r="DX332" i="5" s="1"/>
  <c r="DR159" i="5"/>
  <c r="DU158" i="5"/>
  <c r="DR119" i="5"/>
  <c r="DU115" i="5"/>
  <c r="DU241" i="5"/>
  <c r="DU240" i="5"/>
  <c r="DR24" i="5"/>
  <c r="DU13" i="5"/>
  <c r="DR70" i="5"/>
  <c r="DU48" i="5"/>
  <c r="DR278" i="5"/>
  <c r="DU272" i="5"/>
  <c r="DR103" i="5"/>
  <c r="DU102" i="5"/>
  <c r="DR214" i="5"/>
  <c r="DU213" i="5"/>
  <c r="DU147" i="5"/>
  <c r="DU146" i="5"/>
  <c r="DR43" i="5"/>
  <c r="DU40" i="5"/>
  <c r="DH116" i="4"/>
  <c r="DE122" i="4"/>
  <c r="R6" i="53" s="1"/>
  <c r="DE35" i="4"/>
  <c r="DH27" i="4"/>
  <c r="DE99" i="4"/>
  <c r="DH97" i="4"/>
  <c r="O6" i="49"/>
  <c r="O6" i="50"/>
  <c r="O6" i="48"/>
  <c r="O8" i="48"/>
  <c r="O8" i="50"/>
  <c r="O8" i="49"/>
  <c r="O7" i="48"/>
  <c r="O7" i="50"/>
  <c r="O7" i="49"/>
  <c r="L13" i="49"/>
  <c r="L13" i="50"/>
  <c r="H16" i="47"/>
  <c r="DO160" i="5"/>
  <c r="DR157" i="5"/>
  <c r="DO179" i="5"/>
  <c r="DR172" i="5"/>
  <c r="DO23" i="5"/>
  <c r="DR12" i="5"/>
  <c r="DO167" i="5"/>
  <c r="DR161" i="5"/>
  <c r="DO31" i="5"/>
  <c r="DR26" i="5"/>
  <c r="DO320" i="5"/>
  <c r="DR317" i="5"/>
  <c r="DU317" i="5" s="1"/>
  <c r="DO331" i="5"/>
  <c r="DR325" i="5"/>
  <c r="DR241" i="5"/>
  <c r="DR240" i="5"/>
  <c r="DO242" i="5"/>
  <c r="DR237" i="5"/>
  <c r="DO156" i="5"/>
  <c r="DR153" i="5"/>
  <c r="DU153" i="5" s="1"/>
  <c r="DX153" i="5" s="1"/>
  <c r="EA153" i="5" s="1"/>
  <c r="ED153" i="5" s="1"/>
  <c r="EG153" i="5" s="1"/>
  <c r="DO25" i="5"/>
  <c r="DR14" i="5"/>
  <c r="DO324" i="5"/>
  <c r="DR321" i="5"/>
  <c r="DO212" i="5"/>
  <c r="DR206" i="5"/>
  <c r="DO204" i="5"/>
  <c r="DR194" i="5"/>
  <c r="DO168" i="5"/>
  <c r="DR162" i="5"/>
  <c r="DO247" i="5"/>
  <c r="DR243" i="5"/>
  <c r="DO180" i="5"/>
  <c r="DR176" i="5"/>
  <c r="DO84" i="5"/>
  <c r="DR77" i="5"/>
  <c r="DO312" i="5"/>
  <c r="DR300" i="5"/>
  <c r="DO8" i="5"/>
  <c r="DR5" i="5"/>
  <c r="DR147" i="5"/>
  <c r="DR146" i="5"/>
  <c r="DO216" i="5"/>
  <c r="DR215" i="5"/>
  <c r="H25" i="46"/>
  <c r="DL353" i="5"/>
  <c r="O13" i="53" s="1"/>
  <c r="DO147" i="5"/>
  <c r="DO146" i="5"/>
  <c r="DO241" i="5"/>
  <c r="DO240" i="5"/>
  <c r="DO155" i="5"/>
  <c r="L13" i="47"/>
  <c r="L13" i="48"/>
  <c r="DI203" i="5"/>
  <c r="DL183" i="5"/>
  <c r="DL351" i="5"/>
  <c r="DI285" i="5"/>
  <c r="DF311" i="5"/>
  <c r="DF350" i="5" s="1"/>
  <c r="CS96" i="4"/>
  <c r="DC278" i="5"/>
  <c r="CR14" i="4"/>
  <c r="CS97" i="4"/>
  <c r="CS94" i="4"/>
  <c r="CS93" i="4"/>
  <c r="CS92" i="4"/>
  <c r="CS90" i="4"/>
  <c r="CS89" i="4"/>
  <c r="CS88" i="4"/>
  <c r="CS76" i="4"/>
  <c r="CS71" i="4"/>
  <c r="CS67" i="4"/>
  <c r="CS66" i="4"/>
  <c r="CS40" i="4"/>
  <c r="CS37" i="4"/>
  <c r="CS28" i="4"/>
  <c r="CS25" i="4"/>
  <c r="CS24" i="4"/>
  <c r="CS21" i="4"/>
  <c r="CS16" i="4"/>
  <c r="CS15" i="4"/>
  <c r="CS13" i="4"/>
  <c r="CS12" i="4"/>
  <c r="CS11" i="4"/>
  <c r="CS10" i="4"/>
  <c r="CS8" i="4"/>
  <c r="CS7" i="4"/>
  <c r="CS6" i="4"/>
  <c r="CS5" i="4"/>
  <c r="CR122" i="4"/>
  <c r="CP122" i="4"/>
  <c r="E6" i="53" s="1"/>
  <c r="D23" i="14"/>
  <c r="E23" i="14"/>
  <c r="C23" i="14"/>
  <c r="C6" i="61" l="1"/>
  <c r="C6" i="60"/>
  <c r="C6" i="59"/>
  <c r="C6" i="58"/>
  <c r="C6" i="56"/>
  <c r="DI311" i="5"/>
  <c r="DI350" i="5" s="1"/>
  <c r="DI357" i="5"/>
  <c r="DU294" i="5"/>
  <c r="R8" i="52"/>
  <c r="R8" i="53"/>
  <c r="R7" i="52"/>
  <c r="R7" i="53"/>
  <c r="C6" i="54"/>
  <c r="F6" i="53"/>
  <c r="EG156" i="5"/>
  <c r="EG155" i="5"/>
  <c r="EG347" i="5"/>
  <c r="I12" i="52"/>
  <c r="I14" i="52" s="1"/>
  <c r="I12" i="53"/>
  <c r="I14" i="53" s="1"/>
  <c r="DH99" i="4"/>
  <c r="U7" i="53" s="1"/>
  <c r="DK97" i="4"/>
  <c r="DH35" i="4"/>
  <c r="U8" i="53" s="1"/>
  <c r="DK27" i="4"/>
  <c r="R6" i="51"/>
  <c r="R6" i="52"/>
  <c r="DK116" i="4"/>
  <c r="DH122" i="4"/>
  <c r="E6" i="51"/>
  <c r="E6" i="52"/>
  <c r="F6" i="51"/>
  <c r="F6" i="52"/>
  <c r="ED347" i="5"/>
  <c r="ED156" i="5"/>
  <c r="ED155" i="5"/>
  <c r="EA37" i="5"/>
  <c r="ED32" i="5"/>
  <c r="DX336" i="5"/>
  <c r="EA332" i="5"/>
  <c r="EA156" i="5"/>
  <c r="EA155" i="5"/>
  <c r="DX205" i="5"/>
  <c r="EA198" i="5"/>
  <c r="EA347" i="5"/>
  <c r="DU43" i="5"/>
  <c r="DX40" i="5"/>
  <c r="DU24" i="5"/>
  <c r="DX13" i="5"/>
  <c r="DX156" i="5"/>
  <c r="DX155" i="5"/>
  <c r="DU214" i="5"/>
  <c r="DX213" i="5"/>
  <c r="DU119" i="5"/>
  <c r="DX115" i="5"/>
  <c r="DU103" i="5"/>
  <c r="DX102" i="5"/>
  <c r="DU159" i="5"/>
  <c r="DX158" i="5"/>
  <c r="DU278" i="5"/>
  <c r="DX272" i="5"/>
  <c r="DU320" i="5"/>
  <c r="DX317" i="5"/>
  <c r="O13" i="51"/>
  <c r="O13" i="52"/>
  <c r="DU70" i="5"/>
  <c r="DX48" i="5"/>
  <c r="DR168" i="5"/>
  <c r="DU162" i="5"/>
  <c r="DX162" i="5" s="1"/>
  <c r="DR242" i="5"/>
  <c r="DU237" i="5"/>
  <c r="DR23" i="5"/>
  <c r="DU12" i="5"/>
  <c r="DR8" i="5"/>
  <c r="DU5" i="5"/>
  <c r="DR204" i="5"/>
  <c r="DU194" i="5"/>
  <c r="DR179" i="5"/>
  <c r="DU172" i="5"/>
  <c r="DR312" i="5"/>
  <c r="DU300" i="5"/>
  <c r="DR160" i="5"/>
  <c r="DU157" i="5"/>
  <c r="DR212" i="5"/>
  <c r="DU206" i="5"/>
  <c r="DR331" i="5"/>
  <c r="DU325" i="5"/>
  <c r="DR84" i="5"/>
  <c r="DU77" i="5"/>
  <c r="DR324" i="5"/>
  <c r="DU321" i="5"/>
  <c r="I12" i="50"/>
  <c r="I14" i="50" s="1"/>
  <c r="I12" i="51"/>
  <c r="I14" i="51" s="1"/>
  <c r="DR180" i="5"/>
  <c r="DU176" i="5"/>
  <c r="DR31" i="5"/>
  <c r="DU26" i="5"/>
  <c r="DR25" i="5"/>
  <c r="DU14" i="5"/>
  <c r="DR247" i="5"/>
  <c r="DU243" i="5"/>
  <c r="DU336" i="5"/>
  <c r="DR216" i="5"/>
  <c r="DU215" i="5"/>
  <c r="DU156" i="5"/>
  <c r="DU155" i="5"/>
  <c r="DR167" i="5"/>
  <c r="DU161" i="5"/>
  <c r="R6" i="50"/>
  <c r="R7" i="50"/>
  <c r="R7" i="51"/>
  <c r="R8" i="50"/>
  <c r="R8" i="51"/>
  <c r="E6" i="48"/>
  <c r="E6" i="50"/>
  <c r="E6" i="49"/>
  <c r="F6" i="48"/>
  <c r="F6" i="50"/>
  <c r="F6" i="49"/>
  <c r="O13" i="49"/>
  <c r="O13" i="50"/>
  <c r="O13" i="48"/>
  <c r="DO353" i="5"/>
  <c r="DO351" i="5"/>
  <c r="DR320" i="5"/>
  <c r="DR156" i="5"/>
  <c r="DR155" i="5"/>
  <c r="I12" i="48"/>
  <c r="I14" i="48" s="1"/>
  <c r="I12" i="49"/>
  <c r="I14" i="49" s="1"/>
  <c r="DL203" i="5"/>
  <c r="DO183" i="5"/>
  <c r="DL285" i="5"/>
  <c r="I12" i="47"/>
  <c r="I14" i="47" s="1"/>
  <c r="I12" i="46"/>
  <c r="I14" i="46" s="1"/>
  <c r="DF355" i="5"/>
  <c r="DF1" i="5" s="1"/>
  <c r="E6" i="45"/>
  <c r="C7" i="44" s="1"/>
  <c r="E6" i="47"/>
  <c r="E6" i="46"/>
  <c r="F6" i="47"/>
  <c r="F6" i="46"/>
  <c r="CS122" i="4"/>
  <c r="F6" i="45"/>
  <c r="CS14" i="4"/>
  <c r="CV14" i="4"/>
  <c r="DA146" i="5"/>
  <c r="CX347" i="5"/>
  <c r="CU347" i="5"/>
  <c r="CX336" i="5"/>
  <c r="CU336" i="5"/>
  <c r="CX331" i="5"/>
  <c r="CU331" i="5"/>
  <c r="CX324" i="5"/>
  <c r="CU324" i="5"/>
  <c r="CX320" i="5"/>
  <c r="CU320" i="5"/>
  <c r="CY313" i="5"/>
  <c r="CX313" i="5"/>
  <c r="CV313" i="5"/>
  <c r="CU313" i="5"/>
  <c r="CX312" i="5"/>
  <c r="CU312" i="5"/>
  <c r="CX311" i="5"/>
  <c r="CU311" i="5"/>
  <c r="CX278" i="5"/>
  <c r="CU278" i="5"/>
  <c r="CX247" i="5"/>
  <c r="CU247" i="5"/>
  <c r="CX242" i="5"/>
  <c r="CU242" i="5"/>
  <c r="CX241" i="5"/>
  <c r="CU241" i="5"/>
  <c r="CX240" i="5"/>
  <c r="CU240" i="5"/>
  <c r="CY216" i="5"/>
  <c r="CX216" i="5"/>
  <c r="CV216" i="5"/>
  <c r="CU216" i="5"/>
  <c r="CX214" i="5"/>
  <c r="CU214" i="5"/>
  <c r="CX212" i="5"/>
  <c r="CU212" i="5"/>
  <c r="CX205" i="5"/>
  <c r="CU205" i="5"/>
  <c r="CX204" i="5"/>
  <c r="CU204" i="5"/>
  <c r="CX203" i="5"/>
  <c r="CU203" i="5"/>
  <c r="CY180" i="5"/>
  <c r="CX180" i="5"/>
  <c r="CV180" i="5"/>
  <c r="CU180" i="5"/>
  <c r="CX179" i="5"/>
  <c r="CU179" i="5"/>
  <c r="CY168" i="5"/>
  <c r="CX168" i="5"/>
  <c r="CV168" i="5"/>
  <c r="CU168" i="5"/>
  <c r="CX167" i="5"/>
  <c r="CU167" i="5"/>
  <c r="CX160" i="5"/>
  <c r="CU160" i="5"/>
  <c r="CX159" i="5"/>
  <c r="CU159" i="5"/>
  <c r="CX156" i="5"/>
  <c r="CU156" i="5"/>
  <c r="CX155" i="5"/>
  <c r="CU155" i="5"/>
  <c r="CX148" i="5"/>
  <c r="CU148" i="5"/>
  <c r="CX147" i="5"/>
  <c r="CU147" i="5"/>
  <c r="CX146" i="5"/>
  <c r="CU146" i="5"/>
  <c r="CX137" i="5"/>
  <c r="CU137" i="5"/>
  <c r="CX136" i="5"/>
  <c r="CU136" i="5"/>
  <c r="CX132" i="5"/>
  <c r="CU132" i="5"/>
  <c r="CX131" i="5"/>
  <c r="CU131" i="5"/>
  <c r="CX118" i="5"/>
  <c r="CU118" i="5"/>
  <c r="CX117" i="5"/>
  <c r="CU117" i="5"/>
  <c r="CX103" i="5"/>
  <c r="CU103" i="5"/>
  <c r="CX97" i="5"/>
  <c r="CU97" i="5"/>
  <c r="CX96" i="5"/>
  <c r="CU96" i="5"/>
  <c r="CX85" i="5"/>
  <c r="CU85" i="5"/>
  <c r="CX84" i="5"/>
  <c r="CU84" i="5"/>
  <c r="CX70" i="5"/>
  <c r="CU70" i="5"/>
  <c r="CX43" i="5"/>
  <c r="CU43" i="5"/>
  <c r="CX37" i="5"/>
  <c r="CU37" i="5"/>
  <c r="CX31" i="5"/>
  <c r="CU31" i="5"/>
  <c r="CX25" i="5"/>
  <c r="CU25" i="5"/>
  <c r="CX24" i="5"/>
  <c r="CU24" i="5"/>
  <c r="CX23" i="5"/>
  <c r="CU23" i="5"/>
  <c r="CX8" i="5"/>
  <c r="CU8" i="5"/>
  <c r="CM126" i="4"/>
  <c r="CJ126" i="4"/>
  <c r="CM122" i="4"/>
  <c r="CJ122" i="4"/>
  <c r="CM99" i="4"/>
  <c r="CJ99" i="4"/>
  <c r="CM35" i="4"/>
  <c r="CJ35" i="4"/>
  <c r="CM22" i="4"/>
  <c r="CJ22" i="4"/>
  <c r="DO285" i="5" l="1"/>
  <c r="DO357" i="5" s="1"/>
  <c r="DL357" i="5"/>
  <c r="DX294" i="5"/>
  <c r="U6" i="52"/>
  <c r="U6" i="53"/>
  <c r="ED37" i="5"/>
  <c r="EG32" i="5"/>
  <c r="EG37" i="5" s="1"/>
  <c r="L12" i="52"/>
  <c r="L14" i="52" s="1"/>
  <c r="L12" i="53"/>
  <c r="L14" i="53" s="1"/>
  <c r="DN116" i="4"/>
  <c r="DK122" i="4"/>
  <c r="U6" i="51"/>
  <c r="DN27" i="4"/>
  <c r="DK35" i="4"/>
  <c r="U8" i="51"/>
  <c r="U8" i="52"/>
  <c r="DK99" i="4"/>
  <c r="DN97" i="4"/>
  <c r="U7" i="51"/>
  <c r="U7" i="52"/>
  <c r="EA205" i="5"/>
  <c r="ED198" i="5"/>
  <c r="EA336" i="5"/>
  <c r="ED332" i="5"/>
  <c r="EG332" i="5" s="1"/>
  <c r="DX168" i="5"/>
  <c r="EA162" i="5"/>
  <c r="DX159" i="5"/>
  <c r="EA158" i="5"/>
  <c r="DX43" i="5"/>
  <c r="EA40" i="5"/>
  <c r="DX70" i="5"/>
  <c r="EA48" i="5"/>
  <c r="DX103" i="5"/>
  <c r="EA102" i="5"/>
  <c r="DX119" i="5"/>
  <c r="EA115" i="5"/>
  <c r="DX24" i="5"/>
  <c r="EA13" i="5"/>
  <c r="DX320" i="5"/>
  <c r="EA317" i="5"/>
  <c r="ED317" i="5" s="1"/>
  <c r="DX214" i="5"/>
  <c r="EA213" i="5"/>
  <c r="DX278" i="5"/>
  <c r="EA272" i="5"/>
  <c r="DI355" i="5"/>
  <c r="DI1" i="5" s="1"/>
  <c r="L12" i="51"/>
  <c r="L14" i="51" s="1"/>
  <c r="L12" i="50"/>
  <c r="L14" i="50" s="1"/>
  <c r="L12" i="49"/>
  <c r="L14" i="49" s="1"/>
  <c r="L12" i="47"/>
  <c r="L14" i="47" s="1"/>
  <c r="L12" i="48"/>
  <c r="L14" i="48" s="1"/>
  <c r="DU324" i="5"/>
  <c r="DX321" i="5"/>
  <c r="DU25" i="5"/>
  <c r="DX14" i="5"/>
  <c r="DU84" i="5"/>
  <c r="DX77" i="5"/>
  <c r="DU204" i="5"/>
  <c r="DX194" i="5"/>
  <c r="DU331" i="5"/>
  <c r="DX325" i="5"/>
  <c r="DU8" i="5"/>
  <c r="DX5" i="5"/>
  <c r="DU167" i="5"/>
  <c r="DX161" i="5"/>
  <c r="DU31" i="5"/>
  <c r="DX26" i="5"/>
  <c r="DU212" i="5"/>
  <c r="DX206" i="5"/>
  <c r="DU23" i="5"/>
  <c r="DX12" i="5"/>
  <c r="DU180" i="5"/>
  <c r="DX176" i="5"/>
  <c r="DU160" i="5"/>
  <c r="DX157" i="5"/>
  <c r="DU242" i="5"/>
  <c r="DX237" i="5"/>
  <c r="DU216" i="5"/>
  <c r="DX215" i="5"/>
  <c r="DU312" i="5"/>
  <c r="DX300" i="5"/>
  <c r="DU168" i="5"/>
  <c r="DU179" i="5"/>
  <c r="DX172" i="5"/>
  <c r="DU247" i="5"/>
  <c r="DX243" i="5"/>
  <c r="DR353" i="5"/>
  <c r="R13" i="53" s="1"/>
  <c r="DR351" i="5"/>
  <c r="DO203" i="5"/>
  <c r="DR183" i="5"/>
  <c r="DL311" i="5"/>
  <c r="DL350" i="5" s="1"/>
  <c r="O12" i="53" s="1"/>
  <c r="O14" i="53" s="1"/>
  <c r="D7" i="44"/>
  <c r="H6" i="45"/>
  <c r="CY14" i="4"/>
  <c r="CV22" i="4"/>
  <c r="I5" i="53" s="1"/>
  <c r="I9" i="53" s="1"/>
  <c r="I16" i="53" s="1"/>
  <c r="CM124" i="4"/>
  <c r="CM1" i="4" s="1"/>
  <c r="CX1" i="5"/>
  <c r="CX351" i="5"/>
  <c r="CU350" i="5"/>
  <c r="CU351" i="5"/>
  <c r="CX353" i="5"/>
  <c r="CU1" i="5"/>
  <c r="CU353" i="5"/>
  <c r="CX350" i="5"/>
  <c r="CJ124" i="4"/>
  <c r="CJ1" i="4" s="1"/>
  <c r="DO311" i="5" l="1"/>
  <c r="DO350" i="5" s="1"/>
  <c r="DR285" i="5"/>
  <c r="DR357" i="5" s="1"/>
  <c r="EA294" i="5"/>
  <c r="DQ116" i="4"/>
  <c r="DN122" i="4"/>
  <c r="AA6" i="53" s="1"/>
  <c r="X6" i="52"/>
  <c r="X6" i="53"/>
  <c r="DN35" i="4"/>
  <c r="AA8" i="53" s="1"/>
  <c r="DQ27" i="4"/>
  <c r="DQ35" i="4" s="1"/>
  <c r="I25" i="53"/>
  <c r="DN99" i="4"/>
  <c r="AA7" i="53" s="1"/>
  <c r="DQ97" i="4"/>
  <c r="X7" i="52"/>
  <c r="X7" i="53"/>
  <c r="X8" i="52"/>
  <c r="X8" i="53"/>
  <c r="EG336" i="5"/>
  <c r="ED205" i="5"/>
  <c r="EG198" i="5"/>
  <c r="EG205" i="5" s="1"/>
  <c r="ED320" i="5"/>
  <c r="EG317" i="5"/>
  <c r="EG320" i="5" s="1"/>
  <c r="I5" i="51"/>
  <c r="I9" i="51" s="1"/>
  <c r="I25" i="51" s="1"/>
  <c r="I5" i="52"/>
  <c r="I9" i="52" s="1"/>
  <c r="EA214" i="5"/>
  <c r="ED213" i="5"/>
  <c r="EA278" i="5"/>
  <c r="ED272" i="5"/>
  <c r="EA70" i="5"/>
  <c r="ED48" i="5"/>
  <c r="EA43" i="5"/>
  <c r="ED40" i="5"/>
  <c r="EA159" i="5"/>
  <c r="ED158" i="5"/>
  <c r="EA24" i="5"/>
  <c r="ED13" i="5"/>
  <c r="EA168" i="5"/>
  <c r="ED162" i="5"/>
  <c r="EA119" i="5"/>
  <c r="ED115" i="5"/>
  <c r="ED336" i="5"/>
  <c r="EA103" i="5"/>
  <c r="ED102" i="5"/>
  <c r="DX180" i="5"/>
  <c r="EA176" i="5"/>
  <c r="DX179" i="5"/>
  <c r="EA172" i="5"/>
  <c r="DX212" i="5"/>
  <c r="EA206" i="5"/>
  <c r="DX84" i="5"/>
  <c r="EA77" i="5"/>
  <c r="DX216" i="5"/>
  <c r="EA215" i="5"/>
  <c r="DX31" i="5"/>
  <c r="EA26" i="5"/>
  <c r="DX25" i="5"/>
  <c r="EA14" i="5"/>
  <c r="DX204" i="5"/>
  <c r="EA194" i="5"/>
  <c r="DX312" i="5"/>
  <c r="EA300" i="5"/>
  <c r="DX331" i="5"/>
  <c r="EA325" i="5"/>
  <c r="DX242" i="5"/>
  <c r="EA237" i="5"/>
  <c r="DX167" i="5"/>
  <c r="EA161" i="5"/>
  <c r="DX324" i="5"/>
  <c r="EA321" i="5"/>
  <c r="EA320" i="5"/>
  <c r="DX247" i="5"/>
  <c r="EA243" i="5"/>
  <c r="DX8" i="5"/>
  <c r="EA5" i="5"/>
  <c r="DX23" i="5"/>
  <c r="EA12" i="5"/>
  <c r="DX160" i="5"/>
  <c r="EA157" i="5"/>
  <c r="DU353" i="5"/>
  <c r="DU351" i="5"/>
  <c r="R13" i="50"/>
  <c r="R13" i="52"/>
  <c r="O12" i="51"/>
  <c r="O14" i="51" s="1"/>
  <c r="O12" i="52"/>
  <c r="O14" i="52" s="1"/>
  <c r="R13" i="51"/>
  <c r="DR203" i="5"/>
  <c r="DU183" i="5"/>
  <c r="I5" i="48"/>
  <c r="I9" i="48" s="1"/>
  <c r="I25" i="48" s="1"/>
  <c r="I5" i="50"/>
  <c r="I9" i="50" s="1"/>
  <c r="I5" i="49"/>
  <c r="I9" i="49" s="1"/>
  <c r="O12" i="49"/>
  <c r="O14" i="49" s="1"/>
  <c r="O12" i="50"/>
  <c r="O14" i="50" s="1"/>
  <c r="DL355" i="5"/>
  <c r="DL1" i="5" s="1"/>
  <c r="O12" i="48"/>
  <c r="O14" i="48" s="1"/>
  <c r="CY22" i="4"/>
  <c r="DB14" i="4"/>
  <c r="CV124" i="4"/>
  <c r="CV1" i="4" s="1"/>
  <c r="I5" i="46"/>
  <c r="I9" i="46" s="1"/>
  <c r="I5" i="47"/>
  <c r="I9" i="47" s="1"/>
  <c r="CX355" i="5"/>
  <c r="CU355" i="5"/>
  <c r="DR311" i="5" l="1"/>
  <c r="DU285" i="5"/>
  <c r="DU311" i="5" s="1"/>
  <c r="DQ99" i="4"/>
  <c r="DQ122" i="4"/>
  <c r="ED294" i="5"/>
  <c r="L5" i="52"/>
  <c r="L9" i="52" s="1"/>
  <c r="L16" i="52" s="1"/>
  <c r="L5" i="53"/>
  <c r="L9" i="53" s="1"/>
  <c r="ED159" i="5"/>
  <c r="EG158" i="5"/>
  <c r="EG159" i="5" s="1"/>
  <c r="ED43" i="5"/>
  <c r="EG40" i="5"/>
  <c r="EG43" i="5" s="1"/>
  <c r="ED70" i="5"/>
  <c r="EG48" i="5"/>
  <c r="EG70" i="5" s="1"/>
  <c r="ED103" i="5"/>
  <c r="EG102" i="5"/>
  <c r="EG103" i="5" s="1"/>
  <c r="ED119" i="5"/>
  <c r="EG115" i="5"/>
  <c r="EG119" i="5" s="1"/>
  <c r="ED278" i="5"/>
  <c r="EG272" i="5"/>
  <c r="EG278" i="5" s="1"/>
  <c r="U13" i="52"/>
  <c r="U13" i="53"/>
  <c r="ED168" i="5"/>
  <c r="EG162" i="5"/>
  <c r="EG168" i="5" s="1"/>
  <c r="ED214" i="5"/>
  <c r="EG213" i="5"/>
  <c r="EG214" i="5" s="1"/>
  <c r="ED24" i="5"/>
  <c r="EG13" i="5"/>
  <c r="EG24" i="5" s="1"/>
  <c r="I16" i="51"/>
  <c r="I16" i="52"/>
  <c r="I25" i="52"/>
  <c r="DX351" i="5"/>
  <c r="EA324" i="5"/>
  <c r="ED321" i="5"/>
  <c r="EA25" i="5"/>
  <c r="ED14" i="5"/>
  <c r="EA180" i="5"/>
  <c r="ED176" i="5"/>
  <c r="EA167" i="5"/>
  <c r="ED161" i="5"/>
  <c r="EA31" i="5"/>
  <c r="ED26" i="5"/>
  <c r="EA160" i="5"/>
  <c r="ED157" i="5"/>
  <c r="EA242" i="5"/>
  <c r="ED237" i="5"/>
  <c r="EA216" i="5"/>
  <c r="ED215" i="5"/>
  <c r="EA23" i="5"/>
  <c r="ED12" i="5"/>
  <c r="EA331" i="5"/>
  <c r="ED325" i="5"/>
  <c r="EA84" i="5"/>
  <c r="ED77" i="5"/>
  <c r="EA8" i="5"/>
  <c r="ED5" i="5"/>
  <c r="EA312" i="5"/>
  <c r="ED300" i="5"/>
  <c r="EG300" i="5" s="1"/>
  <c r="EA212" i="5"/>
  <c r="ED206" i="5"/>
  <c r="EA247" i="5"/>
  <c r="ED243" i="5"/>
  <c r="EG243" i="5" s="1"/>
  <c r="EG247" i="5" s="1"/>
  <c r="EA204" i="5"/>
  <c r="ED194" i="5"/>
  <c r="EA179" i="5"/>
  <c r="ED172" i="5"/>
  <c r="DX353" i="5"/>
  <c r="U13" i="51"/>
  <c r="DR350" i="5"/>
  <c r="DU203" i="5"/>
  <c r="DX183" i="5"/>
  <c r="EA183" i="5" s="1"/>
  <c r="CY124" i="4"/>
  <c r="CY1" i="4" s="1"/>
  <c r="L5" i="51"/>
  <c r="L9" i="51" s="1"/>
  <c r="L5" i="47"/>
  <c r="L9" i="47" s="1"/>
  <c r="L16" i="47" s="1"/>
  <c r="I16" i="48"/>
  <c r="I16" i="49"/>
  <c r="I25" i="49"/>
  <c r="I25" i="50"/>
  <c r="I16" i="50"/>
  <c r="DB22" i="4"/>
  <c r="O5" i="53" s="1"/>
  <c r="O9" i="53" s="1"/>
  <c r="DE14" i="4"/>
  <c r="L5" i="48"/>
  <c r="L9" i="48" s="1"/>
  <c r="L25" i="48" s="1"/>
  <c r="L5" i="49"/>
  <c r="L9" i="49" s="1"/>
  <c r="L5" i="50"/>
  <c r="L9" i="50" s="1"/>
  <c r="DO355" i="5"/>
  <c r="DO1" i="5" s="1"/>
  <c r="I16" i="47"/>
  <c r="I25" i="47"/>
  <c r="I16" i="46"/>
  <c r="I25" i="46"/>
  <c r="CP22" i="4"/>
  <c r="E5" i="53" s="1"/>
  <c r="DA347" i="5"/>
  <c r="DA336" i="5"/>
  <c r="DA331" i="5"/>
  <c r="DA324" i="5"/>
  <c r="DA320" i="5"/>
  <c r="DA313" i="5"/>
  <c r="DA312" i="5"/>
  <c r="DA311" i="5"/>
  <c r="DA278" i="5"/>
  <c r="DA247" i="5"/>
  <c r="DA242" i="5"/>
  <c r="DA241" i="5"/>
  <c r="DA240" i="5"/>
  <c r="DA216" i="5"/>
  <c r="DA214" i="5"/>
  <c r="DA212" i="5"/>
  <c r="DA205" i="5"/>
  <c r="DA204" i="5"/>
  <c r="DA203" i="5"/>
  <c r="DA180" i="5"/>
  <c r="DA179" i="5"/>
  <c r="DA168" i="5"/>
  <c r="DA167" i="5"/>
  <c r="DA160" i="5"/>
  <c r="DA159" i="5"/>
  <c r="DA156" i="5"/>
  <c r="DA155" i="5"/>
  <c r="DA148" i="5"/>
  <c r="DA147" i="5"/>
  <c r="DA137" i="5"/>
  <c r="DA136" i="5"/>
  <c r="DA132" i="5"/>
  <c r="DA131" i="5"/>
  <c r="DA118" i="5"/>
  <c r="DA117" i="5"/>
  <c r="DA103" i="5"/>
  <c r="DA97" i="5"/>
  <c r="DA96" i="5"/>
  <c r="DA85" i="5"/>
  <c r="DA84" i="5"/>
  <c r="DA70" i="5"/>
  <c r="DA43" i="5"/>
  <c r="DA37" i="5"/>
  <c r="DA31" i="5"/>
  <c r="DA25" i="5"/>
  <c r="DA24" i="5"/>
  <c r="DA23" i="5"/>
  <c r="DA8" i="5"/>
  <c r="E6" i="14"/>
  <c r="C7" i="15" s="1"/>
  <c r="CP99" i="4"/>
  <c r="E7" i="53" s="1"/>
  <c r="CP35" i="4"/>
  <c r="E8" i="53" s="1"/>
  <c r="CR126" i="4"/>
  <c r="F6" i="14"/>
  <c r="D7" i="15" s="1"/>
  <c r="CR99" i="4"/>
  <c r="CR35" i="4"/>
  <c r="CR22" i="4"/>
  <c r="DC347" i="5"/>
  <c r="DC336" i="5"/>
  <c r="DC331" i="5"/>
  <c r="DC324" i="5"/>
  <c r="DC320" i="5"/>
  <c r="DC313" i="5"/>
  <c r="DC312" i="5"/>
  <c r="DC311" i="5"/>
  <c r="DC247" i="5"/>
  <c r="DC242" i="5"/>
  <c r="DC241" i="5"/>
  <c r="DC240" i="5"/>
  <c r="DC216" i="5"/>
  <c r="DC214" i="5"/>
  <c r="DC212" i="5"/>
  <c r="DC205" i="5"/>
  <c r="DC204" i="5"/>
  <c r="DC203" i="5"/>
  <c r="DC180" i="5"/>
  <c r="DC179" i="5"/>
  <c r="DC168" i="5"/>
  <c r="DC167" i="5"/>
  <c r="DC160" i="5"/>
  <c r="DC159" i="5"/>
  <c r="DC156" i="5"/>
  <c r="DC155" i="5"/>
  <c r="DC148" i="5"/>
  <c r="DC147" i="5"/>
  <c r="DC146" i="5"/>
  <c r="DC137" i="5"/>
  <c r="DC136" i="5"/>
  <c r="DC132" i="5"/>
  <c r="DC131" i="5"/>
  <c r="DC118" i="5"/>
  <c r="DC103" i="5"/>
  <c r="DC97" i="5"/>
  <c r="DC96" i="5"/>
  <c r="DC85" i="5"/>
  <c r="DC84" i="5"/>
  <c r="DC70" i="5"/>
  <c r="DC43" i="5"/>
  <c r="DC31" i="5"/>
  <c r="DC25" i="5"/>
  <c r="DC24" i="5"/>
  <c r="DC23" i="5"/>
  <c r="DC8" i="5"/>
  <c r="F11" i="15"/>
  <c r="F13" i="15" s="1"/>
  <c r="E16" i="15"/>
  <c r="E13" i="15"/>
  <c r="F10" i="15"/>
  <c r="E10" i="15"/>
  <c r="E17" i="15" l="1"/>
  <c r="C5" i="61"/>
  <c r="C5" i="60"/>
  <c r="C8" i="60"/>
  <c r="C8" i="61"/>
  <c r="C7" i="60"/>
  <c r="C7" i="61"/>
  <c r="D6" i="61"/>
  <c r="D6" i="60"/>
  <c r="D7" i="54"/>
  <c r="G7" i="54" s="1"/>
  <c r="D7" i="60"/>
  <c r="D7" i="61"/>
  <c r="DU350" i="5"/>
  <c r="U12" i="53" s="1"/>
  <c r="U14" i="53" s="1"/>
  <c r="DU357" i="5"/>
  <c r="DX285" i="5"/>
  <c r="EA285" i="5" s="1"/>
  <c r="L25" i="52"/>
  <c r="C8" i="59"/>
  <c r="C8" i="58"/>
  <c r="C8" i="56"/>
  <c r="C5" i="59"/>
  <c r="C5" i="58"/>
  <c r="C5" i="56"/>
  <c r="D6" i="56"/>
  <c r="G6" i="56" s="1"/>
  <c r="D6" i="59"/>
  <c r="D6" i="58"/>
  <c r="D6" i="54"/>
  <c r="G6" i="54" s="1"/>
  <c r="C7" i="59"/>
  <c r="C7" i="58"/>
  <c r="C7" i="56"/>
  <c r="D7" i="59"/>
  <c r="D7" i="58"/>
  <c r="D7" i="56"/>
  <c r="G7" i="56" s="1"/>
  <c r="L25" i="47"/>
  <c r="EA351" i="5"/>
  <c r="EG294" i="5"/>
  <c r="E9" i="53"/>
  <c r="C8" i="54"/>
  <c r="F8" i="53"/>
  <c r="C7" i="54"/>
  <c r="F7" i="53"/>
  <c r="O16" i="53"/>
  <c r="O25" i="53"/>
  <c r="F5" i="53"/>
  <c r="C5" i="54"/>
  <c r="L16" i="53"/>
  <c r="L25" i="53"/>
  <c r="ED204" i="5"/>
  <c r="EG194" i="5"/>
  <c r="EG204" i="5" s="1"/>
  <c r="ED331" i="5"/>
  <c r="EG325" i="5"/>
  <c r="EG331" i="5" s="1"/>
  <c r="ED167" i="5"/>
  <c r="EG161" i="5"/>
  <c r="EG167" i="5" s="1"/>
  <c r="ED23" i="5"/>
  <c r="EG12" i="5"/>
  <c r="EG23" i="5" s="1"/>
  <c r="ED180" i="5"/>
  <c r="EG176" i="5"/>
  <c r="EG180" i="5" s="1"/>
  <c r="ED212" i="5"/>
  <c r="EG206" i="5"/>
  <c r="EG212" i="5" s="1"/>
  <c r="ED216" i="5"/>
  <c r="EG215" i="5"/>
  <c r="EG216" i="5" s="1"/>
  <c r="ED25" i="5"/>
  <c r="EG14" i="5"/>
  <c r="EG25" i="5" s="1"/>
  <c r="R12" i="52"/>
  <c r="R14" i="52" s="1"/>
  <c r="R12" i="53"/>
  <c r="R14" i="53" s="1"/>
  <c r="EG312" i="5"/>
  <c r="ED242" i="5"/>
  <c r="EG237" i="5"/>
  <c r="EG242" i="5" s="1"/>
  <c r="ED324" i="5"/>
  <c r="EG321" i="5"/>
  <c r="EG324" i="5" s="1"/>
  <c r="X13" i="52"/>
  <c r="X13" i="53"/>
  <c r="ED8" i="5"/>
  <c r="EG5" i="5"/>
  <c r="EG8" i="5" s="1"/>
  <c r="ED160" i="5"/>
  <c r="EG157" i="5"/>
  <c r="EG160" i="5" s="1"/>
  <c r="ED179" i="5"/>
  <c r="EG172" i="5"/>
  <c r="EG179" i="5" s="1"/>
  <c r="ED84" i="5"/>
  <c r="EG77" i="5"/>
  <c r="EG84" i="5" s="1"/>
  <c r="ED31" i="5"/>
  <c r="EG26" i="5"/>
  <c r="EG31" i="5" s="1"/>
  <c r="F5" i="51"/>
  <c r="F5" i="52"/>
  <c r="E8" i="51"/>
  <c r="E8" i="52"/>
  <c r="E7" i="51"/>
  <c r="E7" i="52"/>
  <c r="O5" i="51"/>
  <c r="O9" i="51" s="1"/>
  <c r="O16" i="51" s="1"/>
  <c r="O5" i="52"/>
  <c r="O9" i="52" s="1"/>
  <c r="F8" i="51"/>
  <c r="F8" i="52"/>
  <c r="E5" i="51"/>
  <c r="E5" i="52"/>
  <c r="F7" i="51"/>
  <c r="F7" i="52"/>
  <c r="EA353" i="5"/>
  <c r="ED183" i="5"/>
  <c r="ED247" i="5"/>
  <c r="ED312" i="5"/>
  <c r="EA203" i="5"/>
  <c r="R12" i="50"/>
  <c r="R14" i="50" s="1"/>
  <c r="DR355" i="5"/>
  <c r="DR1" i="5" s="1"/>
  <c r="R12" i="51"/>
  <c r="R14" i="51" s="1"/>
  <c r="DX203" i="5"/>
  <c r="DE22" i="4"/>
  <c r="R5" i="53" s="1"/>
  <c r="R9" i="53" s="1"/>
  <c r="DH14" i="4"/>
  <c r="L25" i="51"/>
  <c r="L16" i="51"/>
  <c r="L25" i="50"/>
  <c r="L16" i="50"/>
  <c r="L16" i="48"/>
  <c r="L25" i="49"/>
  <c r="L16" i="49"/>
  <c r="O5" i="49"/>
  <c r="O9" i="49" s="1"/>
  <c r="O5" i="50"/>
  <c r="O9" i="50" s="1"/>
  <c r="F5" i="48"/>
  <c r="F5" i="50"/>
  <c r="F5" i="49"/>
  <c r="F7" i="48"/>
  <c r="F7" i="50"/>
  <c r="F7" i="49"/>
  <c r="E8" i="48"/>
  <c r="E8" i="50"/>
  <c r="E8" i="49"/>
  <c r="DB124" i="4"/>
  <c r="DB1" i="4" s="1"/>
  <c r="E7" i="48"/>
  <c r="E7" i="50"/>
  <c r="E7" i="49"/>
  <c r="O5" i="48"/>
  <c r="O9" i="48" s="1"/>
  <c r="O25" i="48" s="1"/>
  <c r="F8" i="48"/>
  <c r="F8" i="49"/>
  <c r="F8" i="50"/>
  <c r="E5" i="48"/>
  <c r="E5" i="50"/>
  <c r="E5" i="49"/>
  <c r="E8" i="47"/>
  <c r="E8" i="46"/>
  <c r="E5" i="45"/>
  <c r="C6" i="44" s="1"/>
  <c r="E5" i="47"/>
  <c r="E5" i="46"/>
  <c r="E7" i="47"/>
  <c r="E7" i="46"/>
  <c r="F5" i="45"/>
  <c r="D6" i="44" s="1"/>
  <c r="F5" i="47"/>
  <c r="F5" i="46"/>
  <c r="F8" i="45"/>
  <c r="D9" i="44" s="1"/>
  <c r="F8" i="47"/>
  <c r="F8" i="46"/>
  <c r="F7" i="45"/>
  <c r="D8" i="44" s="1"/>
  <c r="F7" i="47"/>
  <c r="F7" i="46"/>
  <c r="E7" i="14"/>
  <c r="C8" i="15" s="1"/>
  <c r="E7" i="45"/>
  <c r="C8" i="44" s="1"/>
  <c r="E8" i="14"/>
  <c r="C9" i="15" s="1"/>
  <c r="E8" i="45"/>
  <c r="C9" i="44" s="1"/>
  <c r="DC353" i="5"/>
  <c r="C13" i="61" s="1"/>
  <c r="DA1" i="5"/>
  <c r="F8" i="14"/>
  <c r="D9" i="15" s="1"/>
  <c r="CS35" i="4"/>
  <c r="F5" i="14"/>
  <c r="CS22" i="4"/>
  <c r="F7" i="14"/>
  <c r="D8" i="15" s="1"/>
  <c r="CS99" i="4"/>
  <c r="DC1" i="5"/>
  <c r="DA351" i="5"/>
  <c r="DA350" i="5"/>
  <c r="DA353" i="5"/>
  <c r="CR124" i="4"/>
  <c r="CP124" i="4"/>
  <c r="E5" i="14"/>
  <c r="C6" i="15" s="1"/>
  <c r="CP126" i="4"/>
  <c r="CS126" i="4" s="1"/>
  <c r="DC351" i="5"/>
  <c r="DC350" i="5"/>
  <c r="C12" i="61" s="1"/>
  <c r="F16" i="15"/>
  <c r="F17" i="15" s="1"/>
  <c r="DX311" i="5" l="1"/>
  <c r="C14" i="61"/>
  <c r="DU355" i="5"/>
  <c r="DU1" i="5" s="1"/>
  <c r="U12" i="52"/>
  <c r="U14" i="52" s="1"/>
  <c r="U12" i="51"/>
  <c r="U14" i="51" s="1"/>
  <c r="C9" i="60"/>
  <c r="C9" i="61"/>
  <c r="C12" i="59"/>
  <c r="C12" i="60"/>
  <c r="C13" i="59"/>
  <c r="C13" i="60"/>
  <c r="DX357" i="5"/>
  <c r="DX350" i="5"/>
  <c r="X12" i="53" s="1"/>
  <c r="X14" i="53" s="1"/>
  <c r="ED351" i="5"/>
  <c r="C9" i="58"/>
  <c r="O25" i="51"/>
  <c r="C9" i="56"/>
  <c r="C9" i="59"/>
  <c r="C13" i="56"/>
  <c r="C13" i="58"/>
  <c r="C12" i="56"/>
  <c r="C12" i="58"/>
  <c r="E9" i="51"/>
  <c r="F9" i="53"/>
  <c r="ED285" i="5"/>
  <c r="EA357" i="5"/>
  <c r="EA311" i="5"/>
  <c r="EA350" i="5" s="1"/>
  <c r="EA355" i="5" s="1"/>
  <c r="EA1" i="5" s="1"/>
  <c r="E9" i="52"/>
  <c r="F9" i="51"/>
  <c r="C9" i="54"/>
  <c r="DE124" i="4"/>
  <c r="DE1" i="4" s="1"/>
  <c r="EG351" i="5"/>
  <c r="ED353" i="5"/>
  <c r="AA13" i="53" s="1"/>
  <c r="F12" i="52"/>
  <c r="C12" i="54"/>
  <c r="F12" i="53"/>
  <c r="R25" i="53"/>
  <c r="R16" i="53"/>
  <c r="E13" i="52"/>
  <c r="E13" i="53"/>
  <c r="F13" i="52"/>
  <c r="F13" i="53"/>
  <c r="C13" i="54"/>
  <c r="E12" i="52"/>
  <c r="E12" i="53"/>
  <c r="ED203" i="5"/>
  <c r="EG353" i="5"/>
  <c r="O16" i="52"/>
  <c r="O25" i="52"/>
  <c r="DH22" i="4"/>
  <c r="DK14" i="4"/>
  <c r="F9" i="52"/>
  <c r="R5" i="51"/>
  <c r="R9" i="51" s="1"/>
  <c r="R25" i="51" s="1"/>
  <c r="R5" i="52"/>
  <c r="R9" i="52" s="1"/>
  <c r="E13" i="50"/>
  <c r="E13" i="51"/>
  <c r="E12" i="50"/>
  <c r="E12" i="51"/>
  <c r="F12" i="50"/>
  <c r="F12" i="51"/>
  <c r="F13" i="50"/>
  <c r="F13" i="51"/>
  <c r="E9" i="48"/>
  <c r="F9" i="49"/>
  <c r="F9" i="50"/>
  <c r="R5" i="50"/>
  <c r="R9" i="50" s="1"/>
  <c r="R25" i="50" s="1"/>
  <c r="O16" i="48"/>
  <c r="O16" i="50"/>
  <c r="O25" i="50"/>
  <c r="O25" i="49"/>
  <c r="O16" i="49"/>
  <c r="E9" i="49"/>
  <c r="E9" i="50"/>
  <c r="F9" i="48"/>
  <c r="F13" i="48"/>
  <c r="F13" i="49"/>
  <c r="E13" i="48"/>
  <c r="E13" i="49"/>
  <c r="F12" i="48"/>
  <c r="F12" i="49"/>
  <c r="E12" i="48"/>
  <c r="E12" i="49"/>
  <c r="F9" i="46"/>
  <c r="F9" i="47"/>
  <c r="H5" i="45"/>
  <c r="F9" i="45"/>
  <c r="C10" i="44"/>
  <c r="F13" i="47"/>
  <c r="F13" i="46"/>
  <c r="F13" i="45"/>
  <c r="E9" i="46"/>
  <c r="F12" i="47"/>
  <c r="F12" i="46"/>
  <c r="E9" i="47"/>
  <c r="C10" i="15"/>
  <c r="E12" i="14"/>
  <c r="C11" i="15" s="1"/>
  <c r="E12" i="47"/>
  <c r="E12" i="46"/>
  <c r="E12" i="45"/>
  <c r="E13" i="14"/>
  <c r="C12" i="15" s="1"/>
  <c r="E13" i="47"/>
  <c r="E13" i="46"/>
  <c r="E13" i="45"/>
  <c r="C12" i="44" s="1"/>
  <c r="H8" i="45"/>
  <c r="E9" i="45"/>
  <c r="H7" i="45"/>
  <c r="D10" i="44"/>
  <c r="F12" i="14"/>
  <c r="D11" i="15" s="1"/>
  <c r="F12" i="45"/>
  <c r="D6" i="15"/>
  <c r="D10" i="15" s="1"/>
  <c r="DD357" i="5"/>
  <c r="CR1" i="4"/>
  <c r="CS124" i="4"/>
  <c r="DA355" i="5"/>
  <c r="DC355" i="5"/>
  <c r="F13" i="14"/>
  <c r="D12" i="15" s="1"/>
  <c r="CG126" i="4"/>
  <c r="CG122" i="4"/>
  <c r="CG99" i="4"/>
  <c r="CG35" i="4"/>
  <c r="CG22" i="4"/>
  <c r="CR205" i="5"/>
  <c r="CS200" i="5"/>
  <c r="CV200" i="5" s="1"/>
  <c r="CY200" i="5" s="1"/>
  <c r="CR347" i="5"/>
  <c r="CR336" i="5"/>
  <c r="CR331" i="5"/>
  <c r="CR324" i="5"/>
  <c r="CR320" i="5"/>
  <c r="CS313" i="5"/>
  <c r="CR313" i="5"/>
  <c r="CR312" i="5"/>
  <c r="CR311" i="5"/>
  <c r="CR278" i="5"/>
  <c r="CR247" i="5"/>
  <c r="CR242" i="5"/>
  <c r="CR241" i="5"/>
  <c r="CR240" i="5"/>
  <c r="CS216" i="5"/>
  <c r="CR216" i="5"/>
  <c r="CR214" i="5"/>
  <c r="CR212" i="5"/>
  <c r="CR204" i="5"/>
  <c r="CR203" i="5"/>
  <c r="CS180" i="5"/>
  <c r="CR180" i="5"/>
  <c r="CR179" i="5"/>
  <c r="CS168" i="5"/>
  <c r="CR168" i="5"/>
  <c r="CR167" i="5"/>
  <c r="CR160" i="5"/>
  <c r="CR159" i="5"/>
  <c r="CR156" i="5"/>
  <c r="CR155" i="5"/>
  <c r="CR148" i="5"/>
  <c r="CR147" i="5"/>
  <c r="CR146" i="5"/>
  <c r="CR137" i="5"/>
  <c r="CR136" i="5"/>
  <c r="CR132" i="5"/>
  <c r="CR131" i="5"/>
  <c r="CR118" i="5"/>
  <c r="CR117" i="5"/>
  <c r="CR103" i="5"/>
  <c r="CR97" i="5"/>
  <c r="CR96" i="5"/>
  <c r="CR85" i="5"/>
  <c r="CR84" i="5"/>
  <c r="CR70" i="5"/>
  <c r="CR43" i="5"/>
  <c r="CR37" i="5"/>
  <c r="CR31" i="5"/>
  <c r="CR25" i="5"/>
  <c r="CR24" i="5"/>
  <c r="CR23" i="5"/>
  <c r="CR8" i="5"/>
  <c r="CD126" i="4"/>
  <c r="CD122" i="4"/>
  <c r="CD99" i="4"/>
  <c r="CD35" i="4"/>
  <c r="CD22" i="4"/>
  <c r="CO278" i="5"/>
  <c r="CP257" i="5"/>
  <c r="CS257" i="5" s="1"/>
  <c r="CV257" i="5" s="1"/>
  <c r="CP219" i="5"/>
  <c r="CS219" i="5" s="1"/>
  <c r="CV219" i="5" s="1"/>
  <c r="CY219" i="5" s="1"/>
  <c r="CO85" i="5"/>
  <c r="CO84" i="5"/>
  <c r="CP81" i="5"/>
  <c r="CP85" i="5" s="1"/>
  <c r="CO347" i="5"/>
  <c r="CO336" i="5"/>
  <c r="CO331" i="5"/>
  <c r="CO324" i="5"/>
  <c r="CO320" i="5"/>
  <c r="CP313" i="5"/>
  <c r="CO313" i="5"/>
  <c r="CO312" i="5"/>
  <c r="CO311" i="5"/>
  <c r="CO247" i="5"/>
  <c r="CO242" i="5"/>
  <c r="CO241" i="5"/>
  <c r="CO240" i="5"/>
  <c r="CP216" i="5"/>
  <c r="CO216" i="5"/>
  <c r="CO214" i="5"/>
  <c r="CO212" i="5"/>
  <c r="CO205" i="5"/>
  <c r="CO204" i="5"/>
  <c r="CO203" i="5"/>
  <c r="CP180" i="5"/>
  <c r="CO180" i="5"/>
  <c r="CO179" i="5"/>
  <c r="CP168" i="5"/>
  <c r="CO168" i="5"/>
  <c r="CO167" i="5"/>
  <c r="CO160" i="5"/>
  <c r="CO159" i="5"/>
  <c r="CO156" i="5"/>
  <c r="CO155" i="5"/>
  <c r="CO148" i="5"/>
  <c r="CO147" i="5"/>
  <c r="CO146" i="5"/>
  <c r="CO137" i="5"/>
  <c r="CO136" i="5"/>
  <c r="CO132" i="5"/>
  <c r="CO131" i="5"/>
  <c r="CO118" i="5"/>
  <c r="CO117" i="5"/>
  <c r="CO103" i="5"/>
  <c r="CO97" i="5"/>
  <c r="CO96" i="5"/>
  <c r="CO70" i="5"/>
  <c r="CO43" i="5"/>
  <c r="CO37" i="5"/>
  <c r="CO31" i="5"/>
  <c r="CO25" i="5"/>
  <c r="CO24" i="5"/>
  <c r="CO23" i="5"/>
  <c r="CO8" i="5"/>
  <c r="CM141" i="5"/>
  <c r="CP141" i="5" s="1"/>
  <c r="CS141" i="5" s="1"/>
  <c r="CV141" i="5" s="1"/>
  <c r="CY141" i="5" s="1"/>
  <c r="CM17" i="5"/>
  <c r="CP17" i="5" s="1"/>
  <c r="CS17" i="5" s="1"/>
  <c r="CV17" i="5" s="1"/>
  <c r="CY17" i="5" s="1"/>
  <c r="CL347" i="5"/>
  <c r="CL336" i="5"/>
  <c r="CL331" i="5"/>
  <c r="CL324" i="5"/>
  <c r="CL320" i="5"/>
  <c r="CM313" i="5"/>
  <c r="CL313" i="5"/>
  <c r="CL312" i="5"/>
  <c r="CL311" i="5"/>
  <c r="CL278" i="5"/>
  <c r="CL247" i="5"/>
  <c r="CL242" i="5"/>
  <c r="CL241" i="5"/>
  <c r="CL240" i="5"/>
  <c r="CM216" i="5"/>
  <c r="CL216" i="5"/>
  <c r="CL214" i="5"/>
  <c r="CL212" i="5"/>
  <c r="CL205" i="5"/>
  <c r="CL204" i="5"/>
  <c r="CL203" i="5"/>
  <c r="CM180" i="5"/>
  <c r="CL180" i="5"/>
  <c r="CL179" i="5"/>
  <c r="CM168" i="5"/>
  <c r="CL168" i="5"/>
  <c r="CL167" i="5"/>
  <c r="CL160" i="5"/>
  <c r="CL159" i="5"/>
  <c r="CL156" i="5"/>
  <c r="CL155" i="5"/>
  <c r="CL148" i="5"/>
  <c r="CL147" i="5"/>
  <c r="CL146" i="5"/>
  <c r="CL137" i="5"/>
  <c r="CL136" i="5"/>
  <c r="CL132" i="5"/>
  <c r="CL131" i="5"/>
  <c r="CL118" i="5"/>
  <c r="CL117" i="5"/>
  <c r="CL103" i="5"/>
  <c r="CL97" i="5"/>
  <c r="CL96" i="5"/>
  <c r="CL84" i="5"/>
  <c r="CL70" i="5"/>
  <c r="CL43" i="5"/>
  <c r="CL37" i="5"/>
  <c r="CL31" i="5"/>
  <c r="CL25" i="5"/>
  <c r="CL24" i="5"/>
  <c r="CL23" i="5"/>
  <c r="CL8" i="5"/>
  <c r="CI347" i="5"/>
  <c r="CI336" i="5"/>
  <c r="CI331" i="5"/>
  <c r="CI324" i="5"/>
  <c r="CI320" i="5"/>
  <c r="CJ313" i="5"/>
  <c r="CI313" i="5"/>
  <c r="CI312" i="5"/>
  <c r="CI311" i="5"/>
  <c r="CI278" i="5"/>
  <c r="CI247" i="5"/>
  <c r="CI242" i="5"/>
  <c r="CI241" i="5"/>
  <c r="CI240" i="5"/>
  <c r="CJ216" i="5"/>
  <c r="CI216" i="5"/>
  <c r="CI214" i="5"/>
  <c r="CI212" i="5"/>
  <c r="CI205" i="5"/>
  <c r="CI204" i="5"/>
  <c r="CI203" i="5"/>
  <c r="CJ180" i="5"/>
  <c r="CI180" i="5"/>
  <c r="CI179" i="5"/>
  <c r="CJ168" i="5"/>
  <c r="CI168" i="5"/>
  <c r="CI167" i="5"/>
  <c r="CI160" i="5"/>
  <c r="CI159" i="5"/>
  <c r="CI156" i="5"/>
  <c r="CI155" i="5"/>
  <c r="CI148" i="5"/>
  <c r="CI147" i="5"/>
  <c r="CI146" i="5"/>
  <c r="CI137" i="5"/>
  <c r="CI136" i="5"/>
  <c r="CI132" i="5"/>
  <c r="CI131" i="5"/>
  <c r="CI118" i="5"/>
  <c r="CI117" i="5"/>
  <c r="CI103" i="5"/>
  <c r="CI97" i="5"/>
  <c r="CI96" i="5"/>
  <c r="CI84" i="5"/>
  <c r="CI70" i="5"/>
  <c r="CI43" i="5"/>
  <c r="CI37" i="5"/>
  <c r="CI31" i="5"/>
  <c r="CI25" i="5"/>
  <c r="CI24" i="5"/>
  <c r="CI23" i="5"/>
  <c r="CI8" i="5"/>
  <c r="CA126" i="4"/>
  <c r="CA122" i="4"/>
  <c r="CA99" i="4"/>
  <c r="CA35" i="4"/>
  <c r="CA22" i="4"/>
  <c r="CF347" i="5"/>
  <c r="CG339" i="5"/>
  <c r="CJ339" i="5" s="1"/>
  <c r="CM339" i="5" s="1"/>
  <c r="CP339" i="5" s="1"/>
  <c r="CS339" i="5" s="1"/>
  <c r="CV339" i="5" s="1"/>
  <c r="CY339" i="5" s="1"/>
  <c r="CG199" i="5"/>
  <c r="CJ199" i="5" s="1"/>
  <c r="CM199" i="5" s="1"/>
  <c r="CP199" i="5" s="1"/>
  <c r="CS199" i="5" s="1"/>
  <c r="CV199" i="5" s="1"/>
  <c r="CY199" i="5" s="1"/>
  <c r="CF205" i="5"/>
  <c r="CG190" i="5"/>
  <c r="CJ190" i="5" s="1"/>
  <c r="CM190" i="5" s="1"/>
  <c r="CP190" i="5" s="1"/>
  <c r="CS190" i="5" s="1"/>
  <c r="CV190" i="5" s="1"/>
  <c r="CY190" i="5" s="1"/>
  <c r="CF336" i="5"/>
  <c r="CF331" i="5"/>
  <c r="CF324" i="5"/>
  <c r="CF320" i="5"/>
  <c r="CG313" i="5"/>
  <c r="CF313" i="5"/>
  <c r="CF312" i="5"/>
  <c r="CF311" i="5"/>
  <c r="CF278" i="5"/>
  <c r="CF247" i="5"/>
  <c r="CF242" i="5"/>
  <c r="CF241" i="5"/>
  <c r="CF240" i="5"/>
  <c r="CG216" i="5"/>
  <c r="CF216" i="5"/>
  <c r="CF214" i="5"/>
  <c r="CF212" i="5"/>
  <c r="CF204" i="5"/>
  <c r="CF203" i="5"/>
  <c r="CG180" i="5"/>
  <c r="CF180" i="5"/>
  <c r="CF179" i="5"/>
  <c r="CG168" i="5"/>
  <c r="CF168" i="5"/>
  <c r="CF167" i="5"/>
  <c r="CF160" i="5"/>
  <c r="CF159" i="5"/>
  <c r="CF156" i="5"/>
  <c r="CF155" i="5"/>
  <c r="CF148" i="5"/>
  <c r="CF147" i="5"/>
  <c r="CF146" i="5"/>
  <c r="CF137" i="5"/>
  <c r="CF136" i="5"/>
  <c r="CF132" i="5"/>
  <c r="CF131" i="5"/>
  <c r="CF118" i="5"/>
  <c r="CF117" i="5"/>
  <c r="CF103" i="5"/>
  <c r="CF97" i="5"/>
  <c r="CF96" i="5"/>
  <c r="CF84" i="5"/>
  <c r="CF70" i="5"/>
  <c r="CF43" i="5"/>
  <c r="CF37" i="5"/>
  <c r="CF31" i="5"/>
  <c r="CF25" i="5"/>
  <c r="CF24" i="5"/>
  <c r="CF23" i="5"/>
  <c r="CF8" i="5"/>
  <c r="BY31" i="4"/>
  <c r="CB31" i="4" s="1"/>
  <c r="CE31" i="4" s="1"/>
  <c r="CH31" i="4" s="1"/>
  <c r="CK31" i="4" s="1"/>
  <c r="CN31" i="4" s="1"/>
  <c r="BX126" i="4"/>
  <c r="BX122" i="4"/>
  <c r="BX99" i="4"/>
  <c r="BX35" i="4"/>
  <c r="BX22" i="4"/>
  <c r="CC347" i="5"/>
  <c r="CC336" i="5"/>
  <c r="CC331" i="5"/>
  <c r="CC324" i="5"/>
  <c r="CC320" i="5"/>
  <c r="CD313" i="5"/>
  <c r="CC313" i="5"/>
  <c r="CC312" i="5"/>
  <c r="CC311" i="5"/>
  <c r="CC278" i="5"/>
  <c r="CC247" i="5"/>
  <c r="CC242" i="5"/>
  <c r="CC241" i="5"/>
  <c r="CC240" i="5"/>
  <c r="CD216" i="5"/>
  <c r="CC216" i="5"/>
  <c r="CC214" i="5"/>
  <c r="CC212" i="5"/>
  <c r="CC205" i="5"/>
  <c r="CC204" i="5"/>
  <c r="CC203" i="5"/>
  <c r="CD180" i="5"/>
  <c r="CC180" i="5"/>
  <c r="CC179" i="5"/>
  <c r="CD168" i="5"/>
  <c r="CC168" i="5"/>
  <c r="CC167" i="5"/>
  <c r="CC160" i="5"/>
  <c r="CC159" i="5"/>
  <c r="CC156" i="5"/>
  <c r="CC155" i="5"/>
  <c r="CC148" i="5"/>
  <c r="CC147" i="5"/>
  <c r="CC146" i="5"/>
  <c r="CC137" i="5"/>
  <c r="CC136" i="5"/>
  <c r="CC132" i="5"/>
  <c r="CC131" i="5"/>
  <c r="CC118" i="5"/>
  <c r="CC117" i="5"/>
  <c r="CC103" i="5"/>
  <c r="CC97" i="5"/>
  <c r="CC96" i="5"/>
  <c r="CC84" i="5"/>
  <c r="CC70" i="5"/>
  <c r="CC43" i="5"/>
  <c r="CC37" i="5"/>
  <c r="CC31" i="5"/>
  <c r="CC25" i="5"/>
  <c r="CC24" i="5"/>
  <c r="CC23" i="5"/>
  <c r="CC8" i="5"/>
  <c r="BU22" i="4"/>
  <c r="BU126" i="4"/>
  <c r="BU122" i="4"/>
  <c r="BU99" i="4"/>
  <c r="BU35" i="4"/>
  <c r="CA112" i="5"/>
  <c r="CD112" i="5" s="1"/>
  <c r="CG112" i="5" s="1"/>
  <c r="CJ112" i="5" s="1"/>
  <c r="CM112" i="5" s="1"/>
  <c r="CP112" i="5" s="1"/>
  <c r="CS112" i="5" s="1"/>
  <c r="CV112" i="5" s="1"/>
  <c r="CY112" i="5" s="1"/>
  <c r="BZ109" i="5"/>
  <c r="BZ117" i="5" s="1"/>
  <c r="BZ347" i="5"/>
  <c r="BZ336" i="5"/>
  <c r="BZ331" i="5"/>
  <c r="BZ324" i="5"/>
  <c r="BZ320" i="5"/>
  <c r="CA313" i="5"/>
  <c r="BZ313" i="5"/>
  <c r="BZ312" i="5"/>
  <c r="BZ311" i="5"/>
  <c r="BZ278" i="5"/>
  <c r="BZ247" i="5"/>
  <c r="BZ242" i="5"/>
  <c r="BZ241" i="5"/>
  <c r="BZ240" i="5"/>
  <c r="CA216" i="5"/>
  <c r="BZ216" i="5"/>
  <c r="BZ214" i="5"/>
  <c r="BZ212" i="5"/>
  <c r="BZ205" i="5"/>
  <c r="BZ204" i="5"/>
  <c r="BZ203" i="5"/>
  <c r="CA180" i="5"/>
  <c r="BZ180" i="5"/>
  <c r="BZ179" i="5"/>
  <c r="CA168" i="5"/>
  <c r="BZ168" i="5"/>
  <c r="BZ167" i="5"/>
  <c r="BZ160" i="5"/>
  <c r="BZ159" i="5"/>
  <c r="BZ156" i="5"/>
  <c r="BZ155" i="5"/>
  <c r="BZ148" i="5"/>
  <c r="BZ147" i="5"/>
  <c r="BZ146" i="5"/>
  <c r="BZ137" i="5"/>
  <c r="BZ136" i="5"/>
  <c r="BZ132" i="5"/>
  <c r="BZ131" i="5"/>
  <c r="BZ118" i="5"/>
  <c r="BZ103" i="5"/>
  <c r="BZ97" i="5"/>
  <c r="BZ96" i="5"/>
  <c r="BZ84" i="5"/>
  <c r="BZ70" i="5"/>
  <c r="BZ43" i="5"/>
  <c r="BZ37" i="5"/>
  <c r="BZ31" i="5"/>
  <c r="BZ25" i="5"/>
  <c r="BZ24" i="5"/>
  <c r="BZ23" i="5"/>
  <c r="BZ8" i="5"/>
  <c r="BW347" i="5"/>
  <c r="BW336" i="5"/>
  <c r="BW331" i="5"/>
  <c r="BW324" i="5"/>
  <c r="BW320" i="5"/>
  <c r="BX313" i="5"/>
  <c r="BW313" i="5"/>
  <c r="BW312" i="5"/>
  <c r="BW311" i="5"/>
  <c r="BW278" i="5"/>
  <c r="BW247" i="5"/>
  <c r="BW242" i="5"/>
  <c r="BW241" i="5"/>
  <c r="BW240" i="5"/>
  <c r="BX216" i="5"/>
  <c r="BW216" i="5"/>
  <c r="BW214" i="5"/>
  <c r="BW212" i="5"/>
  <c r="BW205" i="5"/>
  <c r="BW204" i="5"/>
  <c r="BW203" i="5"/>
  <c r="BX180" i="5"/>
  <c r="BW180" i="5"/>
  <c r="BW179" i="5"/>
  <c r="BX168" i="5"/>
  <c r="BW168" i="5"/>
  <c r="BW167" i="5"/>
  <c r="BW160" i="5"/>
  <c r="BW159" i="5"/>
  <c r="BW156" i="5"/>
  <c r="BW155" i="5"/>
  <c r="BW148" i="5"/>
  <c r="BW147" i="5"/>
  <c r="BW146" i="5"/>
  <c r="BW137" i="5"/>
  <c r="BW136" i="5"/>
  <c r="BW132" i="5"/>
  <c r="BW131" i="5"/>
  <c r="BW118" i="5"/>
  <c r="BW117" i="5"/>
  <c r="BW103" i="5"/>
  <c r="BW97" i="5"/>
  <c r="BW96" i="5"/>
  <c r="BW84" i="5"/>
  <c r="BW70" i="5"/>
  <c r="BW43" i="5"/>
  <c r="BW37" i="5"/>
  <c r="BW31" i="5"/>
  <c r="BW25" i="5"/>
  <c r="BW24" i="5"/>
  <c r="BW23" i="5"/>
  <c r="BW8" i="5"/>
  <c r="C16" i="61" l="1"/>
  <c r="C27" i="61"/>
  <c r="C14" i="59"/>
  <c r="C16" i="59" s="1"/>
  <c r="C14" i="60"/>
  <c r="C16" i="60" s="1"/>
  <c r="X12" i="52"/>
  <c r="X14" i="52" s="1"/>
  <c r="C14" i="56"/>
  <c r="C16" i="56" s="1"/>
  <c r="DX355" i="5"/>
  <c r="DX1" i="5" s="1"/>
  <c r="C14" i="58"/>
  <c r="C27" i="58" s="1"/>
  <c r="EG285" i="5"/>
  <c r="ED311" i="5"/>
  <c r="ED350" i="5" s="1"/>
  <c r="ED355" i="5" s="1"/>
  <c r="ED1" i="5" s="1"/>
  <c r="ED357" i="5"/>
  <c r="R16" i="51"/>
  <c r="U5" i="52"/>
  <c r="U9" i="52" s="1"/>
  <c r="U25" i="52" s="1"/>
  <c r="U5" i="53"/>
  <c r="U9" i="53" s="1"/>
  <c r="E14" i="52"/>
  <c r="E25" i="52" s="1"/>
  <c r="F14" i="52"/>
  <c r="F25" i="52" s="1"/>
  <c r="E14" i="53"/>
  <c r="F14" i="53"/>
  <c r="C14" i="54"/>
  <c r="R25" i="52"/>
  <c r="R16" i="52"/>
  <c r="U5" i="51"/>
  <c r="U9" i="51" s="1"/>
  <c r="U25" i="51" s="1"/>
  <c r="DH124" i="4"/>
  <c r="DH1" i="4" s="1"/>
  <c r="DN14" i="4"/>
  <c r="DK22" i="4"/>
  <c r="X5" i="53" s="1"/>
  <c r="X9" i="53" s="1"/>
  <c r="X16" i="53" s="1"/>
  <c r="F14" i="50"/>
  <c r="F16" i="50" s="1"/>
  <c r="E14" i="50"/>
  <c r="E25" i="50" s="1"/>
  <c r="F14" i="51"/>
  <c r="E14" i="51"/>
  <c r="R16" i="50"/>
  <c r="H9" i="45"/>
  <c r="E14" i="48"/>
  <c r="E16" i="48" s="1"/>
  <c r="E14" i="49"/>
  <c r="E16" i="49" s="1"/>
  <c r="F14" i="49"/>
  <c r="F14" i="48"/>
  <c r="C13" i="15"/>
  <c r="C17" i="15" s="1"/>
  <c r="F14" i="46"/>
  <c r="F25" i="46" s="1"/>
  <c r="F14" i="47"/>
  <c r="F16" i="47" s="1"/>
  <c r="D12" i="44"/>
  <c r="H13" i="45"/>
  <c r="E14" i="45"/>
  <c r="E16" i="45" s="1"/>
  <c r="C11" i="44"/>
  <c r="C13" i="44" s="1"/>
  <c r="C17" i="44" s="1"/>
  <c r="E14" i="46"/>
  <c r="E16" i="46" s="1"/>
  <c r="E14" i="47"/>
  <c r="E16" i="47" s="1"/>
  <c r="D11" i="44"/>
  <c r="H12" i="45"/>
  <c r="F14" i="45"/>
  <c r="D13" i="15"/>
  <c r="D17" i="15" s="1"/>
  <c r="CA124" i="4"/>
  <c r="CG124" i="4"/>
  <c r="CG1" i="4" s="1"/>
  <c r="CY257" i="5"/>
  <c r="CS81" i="5"/>
  <c r="CO353" i="5"/>
  <c r="CR351" i="5"/>
  <c r="CR1" i="5"/>
  <c r="CR350" i="5"/>
  <c r="CR353" i="5"/>
  <c r="CD124" i="4"/>
  <c r="CD1" i="4" s="1"/>
  <c r="CO1" i="5"/>
  <c r="CO351" i="5"/>
  <c r="CO350" i="5"/>
  <c r="CL1" i="5"/>
  <c r="CL351" i="5"/>
  <c r="CL353" i="5"/>
  <c r="CL350" i="5"/>
  <c r="CI353" i="5"/>
  <c r="CI350" i="5"/>
  <c r="CI351" i="5"/>
  <c r="CI1" i="5"/>
  <c r="BZ351" i="5"/>
  <c r="CF351" i="5"/>
  <c r="CF350" i="5"/>
  <c r="CC353" i="5"/>
  <c r="CF353" i="5"/>
  <c r="CF1" i="5"/>
  <c r="BX124" i="4"/>
  <c r="CC1" i="5"/>
  <c r="CC350" i="5"/>
  <c r="CC351" i="5"/>
  <c r="BU124" i="4"/>
  <c r="BZ353" i="5"/>
  <c r="BZ350" i="5"/>
  <c r="BZ1" i="5"/>
  <c r="BW353" i="5"/>
  <c r="BW351" i="5"/>
  <c r="BW350" i="5"/>
  <c r="BW1" i="5"/>
  <c r="BR122" i="4"/>
  <c r="BR126" i="4"/>
  <c r="BS96" i="4"/>
  <c r="BV96" i="4" s="1"/>
  <c r="BY96" i="4" s="1"/>
  <c r="CB96" i="4" s="1"/>
  <c r="CE96" i="4" s="1"/>
  <c r="CH96" i="4" s="1"/>
  <c r="CK96" i="4" s="1"/>
  <c r="CN96" i="4" s="1"/>
  <c r="BR99" i="4"/>
  <c r="BS116" i="4"/>
  <c r="BV116" i="4" s="1"/>
  <c r="BY116" i="4" s="1"/>
  <c r="CB116" i="4" s="1"/>
  <c r="BS112" i="4"/>
  <c r="BV112" i="4" s="1"/>
  <c r="BY112" i="4" s="1"/>
  <c r="CB112" i="4" s="1"/>
  <c r="CE112" i="4" s="1"/>
  <c r="CH112" i="4" s="1"/>
  <c r="CK112" i="4" s="1"/>
  <c r="CN112" i="4" s="1"/>
  <c r="BS111" i="4"/>
  <c r="BV111" i="4" s="1"/>
  <c r="BY111" i="4" s="1"/>
  <c r="CB111" i="4" s="1"/>
  <c r="CE111" i="4" s="1"/>
  <c r="CH111" i="4" s="1"/>
  <c r="CK111" i="4" s="1"/>
  <c r="CN111" i="4" s="1"/>
  <c r="BS106" i="4"/>
  <c r="BV106" i="4" s="1"/>
  <c r="BY106" i="4" s="1"/>
  <c r="CB106" i="4" s="1"/>
  <c r="CE106" i="4" s="1"/>
  <c r="CH106" i="4" s="1"/>
  <c r="CK106" i="4" s="1"/>
  <c r="CN106" i="4" s="1"/>
  <c r="BS105" i="4"/>
  <c r="BV105" i="4" s="1"/>
  <c r="BY105" i="4" s="1"/>
  <c r="CB105" i="4" s="1"/>
  <c r="CE105" i="4" s="1"/>
  <c r="CH105" i="4" s="1"/>
  <c r="CK105" i="4" s="1"/>
  <c r="CN105" i="4" s="1"/>
  <c r="BS97" i="4"/>
  <c r="BV97" i="4" s="1"/>
  <c r="BY97" i="4" s="1"/>
  <c r="CB97" i="4" s="1"/>
  <c r="BS94" i="4"/>
  <c r="BV94" i="4" s="1"/>
  <c r="BY94" i="4" s="1"/>
  <c r="CB94" i="4" s="1"/>
  <c r="CE94" i="4" s="1"/>
  <c r="CH94" i="4" s="1"/>
  <c r="CK94" i="4" s="1"/>
  <c r="CN94" i="4" s="1"/>
  <c r="BS93" i="4"/>
  <c r="BV93" i="4" s="1"/>
  <c r="BY93" i="4" s="1"/>
  <c r="BS92" i="4"/>
  <c r="BV92" i="4" s="1"/>
  <c r="BY92" i="4" s="1"/>
  <c r="CB92" i="4" s="1"/>
  <c r="CE92" i="4" s="1"/>
  <c r="CH92" i="4" s="1"/>
  <c r="CK92" i="4" s="1"/>
  <c r="CN92" i="4" s="1"/>
  <c r="BS90" i="4"/>
  <c r="BV90" i="4" s="1"/>
  <c r="BY90" i="4" s="1"/>
  <c r="CB90" i="4" s="1"/>
  <c r="CE90" i="4" s="1"/>
  <c r="CH90" i="4" s="1"/>
  <c r="CK90" i="4" s="1"/>
  <c r="CN90" i="4" s="1"/>
  <c r="BS89" i="4"/>
  <c r="BV89" i="4" s="1"/>
  <c r="BY89" i="4" s="1"/>
  <c r="CB89" i="4" s="1"/>
  <c r="CE89" i="4" s="1"/>
  <c r="CH89" i="4" s="1"/>
  <c r="CK89" i="4" s="1"/>
  <c r="CN89" i="4" s="1"/>
  <c r="BS88" i="4"/>
  <c r="BV88" i="4" s="1"/>
  <c r="BY88" i="4" s="1"/>
  <c r="CB88" i="4" s="1"/>
  <c r="CE88" i="4" s="1"/>
  <c r="CH88" i="4" s="1"/>
  <c r="CK88" i="4" s="1"/>
  <c r="CN88" i="4" s="1"/>
  <c r="BS76" i="4"/>
  <c r="BV76" i="4" s="1"/>
  <c r="BY76" i="4" s="1"/>
  <c r="CB76" i="4" s="1"/>
  <c r="CE76" i="4" s="1"/>
  <c r="CH76" i="4" s="1"/>
  <c r="CK76" i="4" s="1"/>
  <c r="CN76" i="4" s="1"/>
  <c r="BS71" i="4"/>
  <c r="BV71" i="4" s="1"/>
  <c r="BY71" i="4" s="1"/>
  <c r="CB71" i="4" s="1"/>
  <c r="CE71" i="4" s="1"/>
  <c r="CH71" i="4" s="1"/>
  <c r="CK71" i="4" s="1"/>
  <c r="CN71" i="4" s="1"/>
  <c r="BS67" i="4"/>
  <c r="BV67" i="4" s="1"/>
  <c r="BY67" i="4" s="1"/>
  <c r="CB67" i="4" s="1"/>
  <c r="CE67" i="4" s="1"/>
  <c r="CH67" i="4" s="1"/>
  <c r="CK67" i="4" s="1"/>
  <c r="CN67" i="4" s="1"/>
  <c r="BS66" i="4"/>
  <c r="BV66" i="4" s="1"/>
  <c r="BY66" i="4" s="1"/>
  <c r="BS40" i="4"/>
  <c r="BV40" i="4" s="1"/>
  <c r="BY40" i="4" s="1"/>
  <c r="CB40" i="4" s="1"/>
  <c r="CE40" i="4" s="1"/>
  <c r="CH40" i="4" s="1"/>
  <c r="CK40" i="4" s="1"/>
  <c r="CN40" i="4" s="1"/>
  <c r="BS37" i="4"/>
  <c r="BV37" i="4" s="1"/>
  <c r="BY37" i="4" s="1"/>
  <c r="CB37" i="4" s="1"/>
  <c r="CE37" i="4" s="1"/>
  <c r="CH37" i="4" s="1"/>
  <c r="CK37" i="4" s="1"/>
  <c r="CN37" i="4" s="1"/>
  <c r="BR35" i="4"/>
  <c r="BS30" i="4"/>
  <c r="BV30" i="4" s="1"/>
  <c r="BY30" i="4" s="1"/>
  <c r="CB30" i="4" s="1"/>
  <c r="CE30" i="4" s="1"/>
  <c r="CH30" i="4" s="1"/>
  <c r="CK30" i="4" s="1"/>
  <c r="CN30" i="4" s="1"/>
  <c r="BS29" i="4"/>
  <c r="BV29" i="4" s="1"/>
  <c r="BY29" i="4" s="1"/>
  <c r="CB29" i="4" s="1"/>
  <c r="CE29" i="4" s="1"/>
  <c r="CH29" i="4" s="1"/>
  <c r="CK29" i="4" s="1"/>
  <c r="CN29" i="4" s="1"/>
  <c r="BS28" i="4"/>
  <c r="BV28" i="4" s="1"/>
  <c r="BY28" i="4" s="1"/>
  <c r="CB28" i="4" s="1"/>
  <c r="CE28" i="4" s="1"/>
  <c r="CH28" i="4" s="1"/>
  <c r="CK28" i="4" s="1"/>
  <c r="CN28" i="4" s="1"/>
  <c r="BS27" i="4"/>
  <c r="BV27" i="4" s="1"/>
  <c r="BY27" i="4" s="1"/>
  <c r="CB27" i="4" s="1"/>
  <c r="CE27" i="4" s="1"/>
  <c r="CH27" i="4" s="1"/>
  <c r="CK27" i="4" s="1"/>
  <c r="CN27" i="4" s="1"/>
  <c r="BS24" i="4"/>
  <c r="BR22" i="4"/>
  <c r="BS6" i="4"/>
  <c r="BV6" i="4" s="1"/>
  <c r="BY6" i="4" s="1"/>
  <c r="CB6" i="4" s="1"/>
  <c r="CE6" i="4" s="1"/>
  <c r="CH6" i="4" s="1"/>
  <c r="CK6" i="4" s="1"/>
  <c r="CN6" i="4" s="1"/>
  <c r="BS7" i="4"/>
  <c r="BV7" i="4" s="1"/>
  <c r="BY7" i="4" s="1"/>
  <c r="CB7" i="4" s="1"/>
  <c r="CE7" i="4" s="1"/>
  <c r="CH7" i="4" s="1"/>
  <c r="CK7" i="4" s="1"/>
  <c r="CN7" i="4" s="1"/>
  <c r="BS8" i="4"/>
  <c r="BV8" i="4" s="1"/>
  <c r="BY8" i="4" s="1"/>
  <c r="CB8" i="4" s="1"/>
  <c r="CE8" i="4" s="1"/>
  <c r="CH8" i="4" s="1"/>
  <c r="CK8" i="4" s="1"/>
  <c r="CN8" i="4" s="1"/>
  <c r="BS9" i="4"/>
  <c r="BV9" i="4" s="1"/>
  <c r="BY9" i="4" s="1"/>
  <c r="CB9" i="4" s="1"/>
  <c r="CE9" i="4" s="1"/>
  <c r="CH9" i="4" s="1"/>
  <c r="CK9" i="4" s="1"/>
  <c r="CN9" i="4" s="1"/>
  <c r="BS10" i="4"/>
  <c r="BV10" i="4" s="1"/>
  <c r="BY10" i="4" s="1"/>
  <c r="CB10" i="4" s="1"/>
  <c r="CE10" i="4" s="1"/>
  <c r="CH10" i="4" s="1"/>
  <c r="CK10" i="4" s="1"/>
  <c r="CN10" i="4" s="1"/>
  <c r="BS11" i="4"/>
  <c r="BS14" i="4"/>
  <c r="BV14" i="4" s="1"/>
  <c r="BY14" i="4" s="1"/>
  <c r="CB14" i="4" s="1"/>
  <c r="CE14" i="4" s="1"/>
  <c r="CH14" i="4" s="1"/>
  <c r="CK14" i="4" s="1"/>
  <c r="CN14" i="4" s="1"/>
  <c r="BS12" i="4"/>
  <c r="BV12" i="4" s="1"/>
  <c r="BY12" i="4" s="1"/>
  <c r="CB12" i="4" s="1"/>
  <c r="CE12" i="4" s="1"/>
  <c r="CH12" i="4" s="1"/>
  <c r="CK12" i="4" s="1"/>
  <c r="CN12" i="4" s="1"/>
  <c r="BS13" i="4"/>
  <c r="BV13" i="4" s="1"/>
  <c r="BY13" i="4" s="1"/>
  <c r="CB13" i="4" s="1"/>
  <c r="CE13" i="4" s="1"/>
  <c r="CH13" i="4" s="1"/>
  <c r="CK13" i="4" s="1"/>
  <c r="CN13" i="4" s="1"/>
  <c r="BS15" i="4"/>
  <c r="BV15" i="4" s="1"/>
  <c r="BY15" i="4" s="1"/>
  <c r="CB15" i="4" s="1"/>
  <c r="CE15" i="4" s="1"/>
  <c r="CH15" i="4" s="1"/>
  <c r="CK15" i="4" s="1"/>
  <c r="CN15" i="4" s="1"/>
  <c r="BS16" i="4"/>
  <c r="BV16" i="4" s="1"/>
  <c r="BY16" i="4" s="1"/>
  <c r="CB16" i="4" s="1"/>
  <c r="CE16" i="4" s="1"/>
  <c r="CH16" i="4" s="1"/>
  <c r="CK16" i="4" s="1"/>
  <c r="CN16" i="4" s="1"/>
  <c r="BS18" i="4"/>
  <c r="BV18" i="4" s="1"/>
  <c r="BY18" i="4" s="1"/>
  <c r="CB18" i="4" s="1"/>
  <c r="CE18" i="4" s="1"/>
  <c r="CH18" i="4" s="1"/>
  <c r="CK18" i="4" s="1"/>
  <c r="CN18" i="4" s="1"/>
  <c r="BS21" i="4"/>
  <c r="BV21" i="4" s="1"/>
  <c r="BY21" i="4" s="1"/>
  <c r="CB21" i="4" s="1"/>
  <c r="CE21" i="4" s="1"/>
  <c r="CH21" i="4" s="1"/>
  <c r="CK21" i="4" s="1"/>
  <c r="CN21" i="4" s="1"/>
  <c r="BS5" i="4"/>
  <c r="BV5" i="4" s="1"/>
  <c r="BY5" i="4" s="1"/>
  <c r="CB5" i="4" s="1"/>
  <c r="CE5" i="4" s="1"/>
  <c r="CH5" i="4" s="1"/>
  <c r="CK5" i="4" s="1"/>
  <c r="BT347" i="5"/>
  <c r="BT336" i="5"/>
  <c r="BT331" i="5"/>
  <c r="BT324" i="5"/>
  <c r="BT320" i="5"/>
  <c r="BU313" i="5"/>
  <c r="BT313" i="5"/>
  <c r="BT312" i="5"/>
  <c r="BT311" i="5"/>
  <c r="BT278" i="5"/>
  <c r="BT247" i="5"/>
  <c r="BT242" i="5"/>
  <c r="BT241" i="5"/>
  <c r="BT240" i="5"/>
  <c r="BU216" i="5"/>
  <c r="BT216" i="5"/>
  <c r="BT214" i="5"/>
  <c r="BT212" i="5"/>
  <c r="BT205" i="5"/>
  <c r="BT204" i="5"/>
  <c r="BT203" i="5"/>
  <c r="BU180" i="5"/>
  <c r="BT180" i="5"/>
  <c r="BT179" i="5"/>
  <c r="BU168" i="5"/>
  <c r="BT168" i="5"/>
  <c r="BT167" i="5"/>
  <c r="BT160" i="5"/>
  <c r="BT159" i="5"/>
  <c r="BT156" i="5"/>
  <c r="BT155" i="5"/>
  <c r="BT148" i="5"/>
  <c r="BT147" i="5"/>
  <c r="BT146" i="5"/>
  <c r="BT137" i="5"/>
  <c r="BT136" i="5"/>
  <c r="BT132" i="5"/>
  <c r="BT131" i="5"/>
  <c r="BT118" i="5"/>
  <c r="BT117" i="5"/>
  <c r="BT103" i="5"/>
  <c r="BT97" i="5"/>
  <c r="BT96" i="5"/>
  <c r="BT84" i="5"/>
  <c r="BT70" i="5"/>
  <c r="BT43" i="5"/>
  <c r="BT37" i="5"/>
  <c r="BT31" i="5"/>
  <c r="BT25" i="5"/>
  <c r="BT24" i="5"/>
  <c r="BT23" i="5"/>
  <c r="BT8" i="5"/>
  <c r="BQ347" i="5"/>
  <c r="BR340" i="5"/>
  <c r="BU340" i="5" s="1"/>
  <c r="BX340" i="5" s="1"/>
  <c r="CA340" i="5" s="1"/>
  <c r="CD340" i="5" s="1"/>
  <c r="CG340" i="5" s="1"/>
  <c r="CJ340" i="5" s="1"/>
  <c r="CM340" i="5" s="1"/>
  <c r="CP340" i="5" s="1"/>
  <c r="CS340" i="5" s="1"/>
  <c r="CV340" i="5" s="1"/>
  <c r="CY340" i="5" s="1"/>
  <c r="BR344" i="5"/>
  <c r="BU344" i="5" s="1"/>
  <c r="BX344" i="5" s="1"/>
  <c r="CA344" i="5" s="1"/>
  <c r="CD344" i="5" s="1"/>
  <c r="CG344" i="5" s="1"/>
  <c r="CJ344" i="5" s="1"/>
  <c r="CM344" i="5" s="1"/>
  <c r="CP344" i="5" s="1"/>
  <c r="CS344" i="5" s="1"/>
  <c r="CV344" i="5" s="1"/>
  <c r="CY344" i="5" s="1"/>
  <c r="BR343" i="5"/>
  <c r="BU343" i="5" s="1"/>
  <c r="BX343" i="5" s="1"/>
  <c r="CA343" i="5" s="1"/>
  <c r="CD343" i="5" s="1"/>
  <c r="CG343" i="5" s="1"/>
  <c r="CJ343" i="5" s="1"/>
  <c r="CM343" i="5" s="1"/>
  <c r="CP343" i="5" s="1"/>
  <c r="CS343" i="5" s="1"/>
  <c r="CV343" i="5" s="1"/>
  <c r="CY343" i="5" s="1"/>
  <c r="BR342" i="5"/>
  <c r="BU342" i="5" s="1"/>
  <c r="BX342" i="5" s="1"/>
  <c r="CA342" i="5" s="1"/>
  <c r="CD342" i="5" s="1"/>
  <c r="CG342" i="5" s="1"/>
  <c r="CJ342" i="5" s="1"/>
  <c r="CM342" i="5" s="1"/>
  <c r="CP342" i="5" s="1"/>
  <c r="CS342" i="5" s="1"/>
  <c r="CV342" i="5" s="1"/>
  <c r="CY342" i="5" s="1"/>
  <c r="BR337" i="5"/>
  <c r="BU337" i="5" s="1"/>
  <c r="BX337" i="5" s="1"/>
  <c r="CA337" i="5" s="1"/>
  <c r="BR332" i="5"/>
  <c r="BR336" i="5" s="1"/>
  <c r="BR325" i="5"/>
  <c r="BU325" i="5" s="1"/>
  <c r="BR321" i="5"/>
  <c r="BU321" i="5" s="1"/>
  <c r="BR317" i="5"/>
  <c r="BU317" i="5" s="1"/>
  <c r="BR309" i="5"/>
  <c r="BU309" i="5" s="1"/>
  <c r="BX309" i="5" s="1"/>
  <c r="CA309" i="5" s="1"/>
  <c r="CD309" i="5" s="1"/>
  <c r="CG309" i="5" s="1"/>
  <c r="CJ309" i="5" s="1"/>
  <c r="CM309" i="5" s="1"/>
  <c r="CP309" i="5" s="1"/>
  <c r="CS309" i="5" s="1"/>
  <c r="CV309" i="5" s="1"/>
  <c r="CY309" i="5" s="1"/>
  <c r="BR308" i="5"/>
  <c r="BU308" i="5" s="1"/>
  <c r="BX308" i="5" s="1"/>
  <c r="CA308" i="5" s="1"/>
  <c r="CD308" i="5" s="1"/>
  <c r="CG308" i="5" s="1"/>
  <c r="CJ308" i="5" s="1"/>
  <c r="CM308" i="5" s="1"/>
  <c r="CP308" i="5" s="1"/>
  <c r="CS308" i="5" s="1"/>
  <c r="CV308" i="5" s="1"/>
  <c r="CY308" i="5" s="1"/>
  <c r="BR299" i="5"/>
  <c r="BU299" i="5" s="1"/>
  <c r="BX299" i="5" s="1"/>
  <c r="CA299" i="5" s="1"/>
  <c r="CD299" i="5" s="1"/>
  <c r="CG299" i="5" s="1"/>
  <c r="CJ299" i="5" s="1"/>
  <c r="CM299" i="5" s="1"/>
  <c r="CP299" i="5" s="1"/>
  <c r="CS299" i="5" s="1"/>
  <c r="CV299" i="5" s="1"/>
  <c r="CY299" i="5" s="1"/>
  <c r="BR300" i="5"/>
  <c r="BU300" i="5" s="1"/>
  <c r="BR301" i="5"/>
  <c r="BU301" i="5" s="1"/>
  <c r="BX301" i="5" s="1"/>
  <c r="CA301" i="5" s="1"/>
  <c r="CD301" i="5" s="1"/>
  <c r="CG301" i="5" s="1"/>
  <c r="CJ301" i="5" s="1"/>
  <c r="CM301" i="5" s="1"/>
  <c r="CP301" i="5" s="1"/>
  <c r="CS301" i="5" s="1"/>
  <c r="CV301" i="5" s="1"/>
  <c r="CY301" i="5" s="1"/>
  <c r="BR302" i="5"/>
  <c r="BU302" i="5" s="1"/>
  <c r="BX302" i="5" s="1"/>
  <c r="CA302" i="5" s="1"/>
  <c r="CD302" i="5" s="1"/>
  <c r="CG302" i="5" s="1"/>
  <c r="CJ302" i="5" s="1"/>
  <c r="CM302" i="5" s="1"/>
  <c r="CP302" i="5" s="1"/>
  <c r="CS302" i="5" s="1"/>
  <c r="CV302" i="5" s="1"/>
  <c r="CY302" i="5" s="1"/>
  <c r="BR303" i="5"/>
  <c r="BU303" i="5" s="1"/>
  <c r="BX303" i="5" s="1"/>
  <c r="CA303" i="5" s="1"/>
  <c r="CD303" i="5" s="1"/>
  <c r="CG303" i="5" s="1"/>
  <c r="CJ303" i="5" s="1"/>
  <c r="CM303" i="5" s="1"/>
  <c r="CP303" i="5" s="1"/>
  <c r="CS303" i="5" s="1"/>
  <c r="CV303" i="5" s="1"/>
  <c r="CY303" i="5" s="1"/>
  <c r="BR304" i="5"/>
  <c r="BU304" i="5" s="1"/>
  <c r="BX304" i="5" s="1"/>
  <c r="CA304" i="5" s="1"/>
  <c r="CD304" i="5" s="1"/>
  <c r="CG304" i="5" s="1"/>
  <c r="CJ304" i="5" s="1"/>
  <c r="CM304" i="5" s="1"/>
  <c r="CP304" i="5" s="1"/>
  <c r="CS304" i="5" s="1"/>
  <c r="CV304" i="5" s="1"/>
  <c r="CY304" i="5" s="1"/>
  <c r="BR305" i="5"/>
  <c r="BU305" i="5" s="1"/>
  <c r="BX305" i="5" s="1"/>
  <c r="CA305" i="5" s="1"/>
  <c r="CD305" i="5" s="1"/>
  <c r="CG305" i="5" s="1"/>
  <c r="CJ305" i="5" s="1"/>
  <c r="CM305" i="5" s="1"/>
  <c r="CP305" i="5" s="1"/>
  <c r="CS305" i="5" s="1"/>
  <c r="CV305" i="5" s="1"/>
  <c r="CY305" i="5" s="1"/>
  <c r="BR306" i="5"/>
  <c r="BU306" i="5" s="1"/>
  <c r="BX306" i="5" s="1"/>
  <c r="CA306" i="5" s="1"/>
  <c r="CD306" i="5" s="1"/>
  <c r="CG306" i="5" s="1"/>
  <c r="CJ306" i="5" s="1"/>
  <c r="CM306" i="5" s="1"/>
  <c r="CP306" i="5" s="1"/>
  <c r="CS306" i="5" s="1"/>
  <c r="CV306" i="5" s="1"/>
  <c r="CY306" i="5" s="1"/>
  <c r="BR286" i="5"/>
  <c r="BU286" i="5" s="1"/>
  <c r="BX286" i="5" s="1"/>
  <c r="CA286" i="5" s="1"/>
  <c r="CD286" i="5" s="1"/>
  <c r="CG286" i="5" s="1"/>
  <c r="CJ286" i="5" s="1"/>
  <c r="CM286" i="5" s="1"/>
  <c r="CP286" i="5" s="1"/>
  <c r="CS286" i="5" s="1"/>
  <c r="CV286" i="5" s="1"/>
  <c r="CY286" i="5" s="1"/>
  <c r="BR287" i="5"/>
  <c r="BU287" i="5" s="1"/>
  <c r="BX287" i="5" s="1"/>
  <c r="CA287" i="5" s="1"/>
  <c r="CD287" i="5" s="1"/>
  <c r="CG287" i="5" s="1"/>
  <c r="CJ287" i="5" s="1"/>
  <c r="CM287" i="5" s="1"/>
  <c r="CP287" i="5" s="1"/>
  <c r="CS287" i="5" s="1"/>
  <c r="CV287" i="5" s="1"/>
  <c r="CY287" i="5" s="1"/>
  <c r="BR288" i="5"/>
  <c r="BU288" i="5" s="1"/>
  <c r="BX288" i="5" s="1"/>
  <c r="CA288" i="5" s="1"/>
  <c r="CD288" i="5" s="1"/>
  <c r="CG288" i="5" s="1"/>
  <c r="CJ288" i="5" s="1"/>
  <c r="CM288" i="5" s="1"/>
  <c r="CP288" i="5" s="1"/>
  <c r="CS288" i="5" s="1"/>
  <c r="CV288" i="5" s="1"/>
  <c r="CY288" i="5" s="1"/>
  <c r="BR289" i="5"/>
  <c r="BU289" i="5" s="1"/>
  <c r="BX289" i="5" s="1"/>
  <c r="CA289" i="5" s="1"/>
  <c r="CD289" i="5" s="1"/>
  <c r="CG289" i="5" s="1"/>
  <c r="CJ289" i="5" s="1"/>
  <c r="CM289" i="5" s="1"/>
  <c r="CP289" i="5" s="1"/>
  <c r="CS289" i="5" s="1"/>
  <c r="CV289" i="5" s="1"/>
  <c r="CY289" i="5" s="1"/>
  <c r="BR294" i="5"/>
  <c r="BU294" i="5" s="1"/>
  <c r="BX294" i="5" s="1"/>
  <c r="CA294" i="5" s="1"/>
  <c r="CD294" i="5" s="1"/>
  <c r="CG294" i="5" s="1"/>
  <c r="CJ294" i="5" s="1"/>
  <c r="CM294" i="5" s="1"/>
  <c r="CP294" i="5" s="1"/>
  <c r="CS294" i="5" s="1"/>
  <c r="CV294" i="5" s="1"/>
  <c r="CY294" i="5" s="1"/>
  <c r="BR295" i="5"/>
  <c r="BU295" i="5" s="1"/>
  <c r="BX295" i="5" s="1"/>
  <c r="CA295" i="5" s="1"/>
  <c r="CD295" i="5" s="1"/>
  <c r="CG295" i="5" s="1"/>
  <c r="CJ295" i="5" s="1"/>
  <c r="CM295" i="5" s="1"/>
  <c r="CP295" i="5" s="1"/>
  <c r="CS295" i="5" s="1"/>
  <c r="CV295" i="5" s="1"/>
  <c r="CY295" i="5" s="1"/>
  <c r="BR296" i="5"/>
  <c r="BU296" i="5" s="1"/>
  <c r="BX296" i="5" s="1"/>
  <c r="CA296" i="5" s="1"/>
  <c r="CD296" i="5" s="1"/>
  <c r="CG296" i="5" s="1"/>
  <c r="CJ296" i="5" s="1"/>
  <c r="CM296" i="5" s="1"/>
  <c r="CP296" i="5" s="1"/>
  <c r="CS296" i="5" s="1"/>
  <c r="CV296" i="5" s="1"/>
  <c r="CY296" i="5" s="1"/>
  <c r="BR297" i="5"/>
  <c r="BU297" i="5" s="1"/>
  <c r="BX297" i="5" s="1"/>
  <c r="CA297" i="5" s="1"/>
  <c r="CD297" i="5" s="1"/>
  <c r="CG297" i="5" s="1"/>
  <c r="CJ297" i="5" s="1"/>
  <c r="CM297" i="5" s="1"/>
  <c r="CP297" i="5" s="1"/>
  <c r="CS297" i="5" s="1"/>
  <c r="CV297" i="5" s="1"/>
  <c r="CY297" i="5" s="1"/>
  <c r="BR298" i="5"/>
  <c r="BU298" i="5" s="1"/>
  <c r="BX298" i="5" s="1"/>
  <c r="CA298" i="5" s="1"/>
  <c r="CD298" i="5" s="1"/>
  <c r="CG298" i="5" s="1"/>
  <c r="CJ298" i="5" s="1"/>
  <c r="CM298" i="5" s="1"/>
  <c r="CP298" i="5" s="1"/>
  <c r="CS298" i="5" s="1"/>
  <c r="CV298" i="5" s="1"/>
  <c r="CY298" i="5" s="1"/>
  <c r="BR208" i="5"/>
  <c r="BU208" i="5" s="1"/>
  <c r="BX208" i="5" s="1"/>
  <c r="CA208" i="5" s="1"/>
  <c r="CD208" i="5" s="1"/>
  <c r="CG208" i="5" s="1"/>
  <c r="CJ208" i="5" s="1"/>
  <c r="CM208" i="5" s="1"/>
  <c r="CP208" i="5" s="1"/>
  <c r="CS208" i="5" s="1"/>
  <c r="CV208" i="5" s="1"/>
  <c r="CY208" i="5" s="1"/>
  <c r="BR207" i="5"/>
  <c r="BU207" i="5" s="1"/>
  <c r="BX207" i="5" s="1"/>
  <c r="CA207" i="5" s="1"/>
  <c r="CD207" i="5" s="1"/>
  <c r="CG207" i="5" s="1"/>
  <c r="CJ207" i="5" s="1"/>
  <c r="CM207" i="5" s="1"/>
  <c r="CP207" i="5" s="1"/>
  <c r="CS207" i="5" s="1"/>
  <c r="CV207" i="5" s="1"/>
  <c r="CY207" i="5" s="1"/>
  <c r="BR285" i="5"/>
  <c r="BU285" i="5" s="1"/>
  <c r="BX285" i="5" s="1"/>
  <c r="CA285" i="5" s="1"/>
  <c r="CD285" i="5" s="1"/>
  <c r="CG285" i="5" s="1"/>
  <c r="CJ285" i="5" s="1"/>
  <c r="CM285" i="5" s="1"/>
  <c r="CP285" i="5" s="1"/>
  <c r="CS285" i="5" s="1"/>
  <c r="CV285" i="5" s="1"/>
  <c r="CY285" i="5" s="1"/>
  <c r="BR284" i="5"/>
  <c r="BU284" i="5" s="1"/>
  <c r="BX284" i="5" s="1"/>
  <c r="CA284" i="5" s="1"/>
  <c r="CD284" i="5" s="1"/>
  <c r="CG284" i="5" s="1"/>
  <c r="CJ284" i="5" s="1"/>
  <c r="CM284" i="5" s="1"/>
  <c r="CP284" i="5" s="1"/>
  <c r="CS284" i="5" s="1"/>
  <c r="CV284" i="5" s="1"/>
  <c r="CY284" i="5" s="1"/>
  <c r="BR283" i="5"/>
  <c r="BU283" i="5" s="1"/>
  <c r="BX283" i="5" s="1"/>
  <c r="CA283" i="5" s="1"/>
  <c r="CD283" i="5" s="1"/>
  <c r="CG283" i="5" s="1"/>
  <c r="CJ283" i="5" s="1"/>
  <c r="CM283" i="5" s="1"/>
  <c r="CP283" i="5" s="1"/>
  <c r="CS283" i="5" s="1"/>
  <c r="CV283" i="5" s="1"/>
  <c r="CY283" i="5" s="1"/>
  <c r="BR264" i="5"/>
  <c r="BU264" i="5" s="1"/>
  <c r="BX264" i="5" s="1"/>
  <c r="CA264" i="5" s="1"/>
  <c r="CD264" i="5" s="1"/>
  <c r="CG264" i="5" s="1"/>
  <c r="CJ264" i="5" s="1"/>
  <c r="CM264" i="5" s="1"/>
  <c r="CP264" i="5" s="1"/>
  <c r="CS264" i="5" s="1"/>
  <c r="CV264" i="5" s="1"/>
  <c r="CY264" i="5" s="1"/>
  <c r="BR263" i="5"/>
  <c r="BU263" i="5" s="1"/>
  <c r="BX263" i="5" s="1"/>
  <c r="CA263" i="5" s="1"/>
  <c r="CD263" i="5" s="1"/>
  <c r="CG263" i="5" s="1"/>
  <c r="CJ263" i="5" s="1"/>
  <c r="CM263" i="5" s="1"/>
  <c r="CP263" i="5" s="1"/>
  <c r="CS263" i="5" s="1"/>
  <c r="CV263" i="5" s="1"/>
  <c r="CY263" i="5" s="1"/>
  <c r="BR262" i="5"/>
  <c r="BU262" i="5" s="1"/>
  <c r="BX262" i="5" s="1"/>
  <c r="CA262" i="5" s="1"/>
  <c r="CD262" i="5" s="1"/>
  <c r="CG262" i="5" s="1"/>
  <c r="CJ262" i="5" s="1"/>
  <c r="CM262" i="5" s="1"/>
  <c r="CP262" i="5" s="1"/>
  <c r="CS262" i="5" s="1"/>
  <c r="CV262" i="5" s="1"/>
  <c r="CY262" i="5" s="1"/>
  <c r="BR261" i="5"/>
  <c r="BU261" i="5" s="1"/>
  <c r="BX261" i="5" s="1"/>
  <c r="CA261" i="5" s="1"/>
  <c r="CD261" i="5" s="1"/>
  <c r="CG261" i="5" s="1"/>
  <c r="CJ261" i="5" s="1"/>
  <c r="CM261" i="5" s="1"/>
  <c r="CP261" i="5" s="1"/>
  <c r="CS261" i="5" s="1"/>
  <c r="CV261" i="5" s="1"/>
  <c r="CY261" i="5" s="1"/>
  <c r="BR260" i="5"/>
  <c r="BU260" i="5" s="1"/>
  <c r="BX260" i="5" s="1"/>
  <c r="CA260" i="5" s="1"/>
  <c r="CD260" i="5" s="1"/>
  <c r="CG260" i="5" s="1"/>
  <c r="CJ260" i="5" s="1"/>
  <c r="CM260" i="5" s="1"/>
  <c r="CP260" i="5" s="1"/>
  <c r="CS260" i="5" s="1"/>
  <c r="CV260" i="5" s="1"/>
  <c r="CY260" i="5" s="1"/>
  <c r="BR259" i="5"/>
  <c r="BU259" i="5" s="1"/>
  <c r="BX259" i="5" s="1"/>
  <c r="CA259" i="5" s="1"/>
  <c r="CD259" i="5" s="1"/>
  <c r="CG259" i="5" s="1"/>
  <c r="CJ259" i="5" s="1"/>
  <c r="CM259" i="5" s="1"/>
  <c r="CP259" i="5" s="1"/>
  <c r="CS259" i="5" s="1"/>
  <c r="CV259" i="5" s="1"/>
  <c r="CY259" i="5" s="1"/>
  <c r="BR258" i="5"/>
  <c r="BU258" i="5" s="1"/>
  <c r="BX258" i="5" s="1"/>
  <c r="CA258" i="5" s="1"/>
  <c r="BQ214" i="5"/>
  <c r="BR213" i="5"/>
  <c r="BR214" i="5" s="1"/>
  <c r="BR245" i="5"/>
  <c r="BR244" i="5"/>
  <c r="BU244" i="5" s="1"/>
  <c r="BX244" i="5" s="1"/>
  <c r="CA244" i="5" s="1"/>
  <c r="CD244" i="5" s="1"/>
  <c r="CG244" i="5" s="1"/>
  <c r="CJ244" i="5" s="1"/>
  <c r="CM244" i="5" s="1"/>
  <c r="CP244" i="5" s="1"/>
  <c r="CS244" i="5" s="1"/>
  <c r="CV244" i="5" s="1"/>
  <c r="CY244" i="5" s="1"/>
  <c r="BR243" i="5"/>
  <c r="BU243" i="5" s="1"/>
  <c r="BX243" i="5" s="1"/>
  <c r="CA243" i="5" s="1"/>
  <c r="BR237" i="5"/>
  <c r="BU237" i="5" s="1"/>
  <c r="BX237" i="5" s="1"/>
  <c r="CA237" i="5" s="1"/>
  <c r="CD237" i="5" s="1"/>
  <c r="CG237" i="5" s="1"/>
  <c r="CJ237" i="5" s="1"/>
  <c r="CM237" i="5" s="1"/>
  <c r="CP237" i="5" s="1"/>
  <c r="CS237" i="5" s="1"/>
  <c r="CV237" i="5" s="1"/>
  <c r="CY237" i="5" s="1"/>
  <c r="BR235" i="5"/>
  <c r="BU235" i="5" s="1"/>
  <c r="BX235" i="5" s="1"/>
  <c r="BR233" i="5"/>
  <c r="BU233" i="5" s="1"/>
  <c r="BX233" i="5" s="1"/>
  <c r="CA233" i="5" s="1"/>
  <c r="CD233" i="5" s="1"/>
  <c r="CG233" i="5" s="1"/>
  <c r="CJ233" i="5" s="1"/>
  <c r="CM233" i="5" s="1"/>
  <c r="CP233" i="5" s="1"/>
  <c r="CS233" i="5" s="1"/>
  <c r="CV233" i="5" s="1"/>
  <c r="CY233" i="5" s="1"/>
  <c r="BR232" i="5"/>
  <c r="BU232" i="5" s="1"/>
  <c r="BX232" i="5" s="1"/>
  <c r="CA232" i="5" s="1"/>
  <c r="CD232" i="5" s="1"/>
  <c r="CG232" i="5" s="1"/>
  <c r="CJ232" i="5" s="1"/>
  <c r="CM232" i="5" s="1"/>
  <c r="CP232" i="5" s="1"/>
  <c r="CS232" i="5" s="1"/>
  <c r="CV232" i="5" s="1"/>
  <c r="CY232" i="5" s="1"/>
  <c r="BR231" i="5"/>
  <c r="BU231" i="5" s="1"/>
  <c r="BX231" i="5" s="1"/>
  <c r="CA231" i="5" s="1"/>
  <c r="CD231" i="5" s="1"/>
  <c r="CG231" i="5" s="1"/>
  <c r="CJ231" i="5" s="1"/>
  <c r="CM231" i="5" s="1"/>
  <c r="CP231" i="5" s="1"/>
  <c r="CS231" i="5" s="1"/>
  <c r="CV231" i="5" s="1"/>
  <c r="CY231" i="5" s="1"/>
  <c r="BR230" i="5"/>
  <c r="BU230" i="5" s="1"/>
  <c r="BX230" i="5" s="1"/>
  <c r="CA230" i="5" s="1"/>
  <c r="CD230" i="5" s="1"/>
  <c r="CG230" i="5" s="1"/>
  <c r="CJ230" i="5" s="1"/>
  <c r="CM230" i="5" s="1"/>
  <c r="CP230" i="5" s="1"/>
  <c r="CS230" i="5" s="1"/>
  <c r="CV230" i="5" s="1"/>
  <c r="CY230" i="5" s="1"/>
  <c r="BR229" i="5"/>
  <c r="BU229" i="5" s="1"/>
  <c r="BX229" i="5" s="1"/>
  <c r="CA229" i="5" s="1"/>
  <c r="CD229" i="5" s="1"/>
  <c r="CG229" i="5" s="1"/>
  <c r="CJ229" i="5" s="1"/>
  <c r="CM229" i="5" s="1"/>
  <c r="CP229" i="5" s="1"/>
  <c r="CS229" i="5" s="1"/>
  <c r="CV229" i="5" s="1"/>
  <c r="CY229" i="5" s="1"/>
  <c r="BR228" i="5"/>
  <c r="BR241" i="5" s="1"/>
  <c r="BR227" i="5"/>
  <c r="BU227" i="5" s="1"/>
  <c r="BX227" i="5" s="1"/>
  <c r="CA227" i="5" s="1"/>
  <c r="CD227" i="5" s="1"/>
  <c r="CG227" i="5" s="1"/>
  <c r="CJ227" i="5" s="1"/>
  <c r="CM227" i="5" s="1"/>
  <c r="CP227" i="5" s="1"/>
  <c r="CS227" i="5" s="1"/>
  <c r="CV227" i="5" s="1"/>
  <c r="CY227" i="5" s="1"/>
  <c r="BR226" i="5"/>
  <c r="BU226" i="5" s="1"/>
  <c r="BX226" i="5" s="1"/>
  <c r="CA226" i="5" s="1"/>
  <c r="CD226" i="5" s="1"/>
  <c r="CG226" i="5" s="1"/>
  <c r="CJ226" i="5" s="1"/>
  <c r="CM226" i="5" s="1"/>
  <c r="CP226" i="5" s="1"/>
  <c r="CS226" i="5" s="1"/>
  <c r="CV226" i="5" s="1"/>
  <c r="CY226" i="5" s="1"/>
  <c r="BR225" i="5"/>
  <c r="BU225" i="5" s="1"/>
  <c r="BX225" i="5" s="1"/>
  <c r="CA225" i="5" s="1"/>
  <c r="CD225" i="5" s="1"/>
  <c r="CG225" i="5" s="1"/>
  <c r="CJ225" i="5" s="1"/>
  <c r="CM225" i="5" s="1"/>
  <c r="CP225" i="5" s="1"/>
  <c r="CS225" i="5" s="1"/>
  <c r="CV225" i="5" s="1"/>
  <c r="CY225" i="5" s="1"/>
  <c r="BR222" i="5"/>
  <c r="BU222" i="5" s="1"/>
  <c r="BX222" i="5" s="1"/>
  <c r="CA222" i="5" s="1"/>
  <c r="CD222" i="5" s="1"/>
  <c r="CG222" i="5" s="1"/>
  <c r="CJ222" i="5" s="1"/>
  <c r="CM222" i="5" s="1"/>
  <c r="CP222" i="5" s="1"/>
  <c r="CS222" i="5" s="1"/>
  <c r="CV222" i="5" s="1"/>
  <c r="CY222" i="5" s="1"/>
  <c r="BR218" i="5"/>
  <c r="BU218" i="5" s="1"/>
  <c r="BX218" i="5" s="1"/>
  <c r="CA218" i="5" s="1"/>
  <c r="CD218" i="5" s="1"/>
  <c r="CG218" i="5" s="1"/>
  <c r="CJ218" i="5" s="1"/>
  <c r="CM218" i="5" s="1"/>
  <c r="CP218" i="5" s="1"/>
  <c r="CS218" i="5" s="1"/>
  <c r="CV218" i="5" s="1"/>
  <c r="CY218" i="5" s="1"/>
  <c r="BR217" i="5"/>
  <c r="BU217" i="5" s="1"/>
  <c r="BX217" i="5" s="1"/>
  <c r="CA217" i="5" s="1"/>
  <c r="CD217" i="5" s="1"/>
  <c r="BR206" i="5"/>
  <c r="BR197" i="5"/>
  <c r="BU197" i="5" s="1"/>
  <c r="BX197" i="5" s="1"/>
  <c r="CA197" i="5" s="1"/>
  <c r="CD197" i="5" s="1"/>
  <c r="CG197" i="5" s="1"/>
  <c r="CJ197" i="5" s="1"/>
  <c r="CM197" i="5" s="1"/>
  <c r="CP197" i="5" s="1"/>
  <c r="CS197" i="5" s="1"/>
  <c r="CV197" i="5" s="1"/>
  <c r="CY197" i="5" s="1"/>
  <c r="BR196" i="5"/>
  <c r="BU196" i="5" s="1"/>
  <c r="BX196" i="5" s="1"/>
  <c r="CA196" i="5" s="1"/>
  <c r="CD196" i="5" s="1"/>
  <c r="CG196" i="5" s="1"/>
  <c r="CJ196" i="5" s="1"/>
  <c r="CM196" i="5" s="1"/>
  <c r="CP196" i="5" s="1"/>
  <c r="CS196" i="5" s="1"/>
  <c r="CV196" i="5" s="1"/>
  <c r="CY196" i="5" s="1"/>
  <c r="BR195" i="5"/>
  <c r="BU195" i="5" s="1"/>
  <c r="BX195" i="5" s="1"/>
  <c r="CA195" i="5" s="1"/>
  <c r="CD195" i="5" s="1"/>
  <c r="CG195" i="5" s="1"/>
  <c r="CJ195" i="5" s="1"/>
  <c r="CM195" i="5" s="1"/>
  <c r="CP195" i="5" s="1"/>
  <c r="CS195" i="5" s="1"/>
  <c r="CV195" i="5" s="1"/>
  <c r="CY195" i="5" s="1"/>
  <c r="BR194" i="5"/>
  <c r="BU194" i="5" s="1"/>
  <c r="BR193" i="5"/>
  <c r="BU193" i="5" s="1"/>
  <c r="BX193" i="5" s="1"/>
  <c r="CA193" i="5" s="1"/>
  <c r="CD193" i="5" s="1"/>
  <c r="CG193" i="5" s="1"/>
  <c r="CJ193" i="5" s="1"/>
  <c r="CM193" i="5" s="1"/>
  <c r="CP193" i="5" s="1"/>
  <c r="CS193" i="5" s="1"/>
  <c r="CV193" i="5" s="1"/>
  <c r="CY193" i="5" s="1"/>
  <c r="BR192" i="5"/>
  <c r="BU192" i="5" s="1"/>
  <c r="BX192" i="5" s="1"/>
  <c r="CA192" i="5" s="1"/>
  <c r="CD192" i="5" s="1"/>
  <c r="CG192" i="5" s="1"/>
  <c r="CJ192" i="5" s="1"/>
  <c r="CM192" i="5" s="1"/>
  <c r="CP192" i="5" s="1"/>
  <c r="CS192" i="5" s="1"/>
  <c r="CV192" i="5" s="1"/>
  <c r="CY192" i="5" s="1"/>
  <c r="BR191" i="5"/>
  <c r="BU191" i="5" s="1"/>
  <c r="BX191" i="5" s="1"/>
  <c r="CA191" i="5" s="1"/>
  <c r="CD191" i="5" s="1"/>
  <c r="CG191" i="5" s="1"/>
  <c r="CJ191" i="5" s="1"/>
  <c r="CM191" i="5" s="1"/>
  <c r="CP191" i="5" s="1"/>
  <c r="CS191" i="5" s="1"/>
  <c r="CV191" i="5" s="1"/>
  <c r="CY191" i="5" s="1"/>
  <c r="BR189" i="5"/>
  <c r="BU189" i="5" s="1"/>
  <c r="BX189" i="5" s="1"/>
  <c r="CA189" i="5" s="1"/>
  <c r="CD189" i="5" s="1"/>
  <c r="CG189" i="5" s="1"/>
  <c r="CJ189" i="5" s="1"/>
  <c r="CM189" i="5" s="1"/>
  <c r="CP189" i="5" s="1"/>
  <c r="CS189" i="5" s="1"/>
  <c r="CV189" i="5" s="1"/>
  <c r="CY189" i="5" s="1"/>
  <c r="BR188" i="5"/>
  <c r="BU188" i="5" s="1"/>
  <c r="BX188" i="5" s="1"/>
  <c r="CA188" i="5" s="1"/>
  <c r="CD188" i="5" s="1"/>
  <c r="CG188" i="5" s="1"/>
  <c r="CJ188" i="5" s="1"/>
  <c r="CM188" i="5" s="1"/>
  <c r="CP188" i="5" s="1"/>
  <c r="CS188" i="5" s="1"/>
  <c r="CV188" i="5" s="1"/>
  <c r="CY188" i="5" s="1"/>
  <c r="BR187" i="5"/>
  <c r="BU187" i="5" s="1"/>
  <c r="BX187" i="5" s="1"/>
  <c r="CA187" i="5" s="1"/>
  <c r="CD187" i="5" s="1"/>
  <c r="CG187" i="5" s="1"/>
  <c r="CJ187" i="5" s="1"/>
  <c r="CM187" i="5" s="1"/>
  <c r="CP187" i="5" s="1"/>
  <c r="CS187" i="5" s="1"/>
  <c r="CV187" i="5" s="1"/>
  <c r="CY187" i="5" s="1"/>
  <c r="BR186" i="5"/>
  <c r="BU186" i="5" s="1"/>
  <c r="BX186" i="5" s="1"/>
  <c r="CA186" i="5" s="1"/>
  <c r="CD186" i="5" s="1"/>
  <c r="CG186" i="5" s="1"/>
  <c r="CJ186" i="5" s="1"/>
  <c r="CM186" i="5" s="1"/>
  <c r="CP186" i="5" s="1"/>
  <c r="CS186" i="5" s="1"/>
  <c r="CV186" i="5" s="1"/>
  <c r="CY186" i="5" s="1"/>
  <c r="BR185" i="5"/>
  <c r="BU185" i="5" s="1"/>
  <c r="BX185" i="5" s="1"/>
  <c r="CA185" i="5" s="1"/>
  <c r="CD185" i="5" s="1"/>
  <c r="CG185" i="5" s="1"/>
  <c r="CJ185" i="5" s="1"/>
  <c r="CM185" i="5" s="1"/>
  <c r="CP185" i="5" s="1"/>
  <c r="CS185" i="5" s="1"/>
  <c r="CV185" i="5" s="1"/>
  <c r="CY185" i="5" s="1"/>
  <c r="BR182" i="5"/>
  <c r="BU182" i="5" s="1"/>
  <c r="BX182" i="5" s="1"/>
  <c r="CA182" i="5" s="1"/>
  <c r="CD182" i="5" s="1"/>
  <c r="CG182" i="5" s="1"/>
  <c r="CJ182" i="5" s="1"/>
  <c r="CM182" i="5" s="1"/>
  <c r="CP182" i="5" s="1"/>
  <c r="CS182" i="5" s="1"/>
  <c r="CV182" i="5" s="1"/>
  <c r="CY182" i="5" s="1"/>
  <c r="BR181" i="5"/>
  <c r="BU181" i="5" s="1"/>
  <c r="BX181" i="5" s="1"/>
  <c r="CA181" i="5" s="1"/>
  <c r="CD181" i="5" s="1"/>
  <c r="CG181" i="5" s="1"/>
  <c r="CJ181" i="5" s="1"/>
  <c r="CM181" i="5" s="1"/>
  <c r="CP181" i="5" s="1"/>
  <c r="CS181" i="5" s="1"/>
  <c r="CV181" i="5" s="1"/>
  <c r="BR175" i="5"/>
  <c r="BU175" i="5" s="1"/>
  <c r="BX175" i="5" s="1"/>
  <c r="CA175" i="5" s="1"/>
  <c r="CD175" i="5" s="1"/>
  <c r="CG175" i="5" s="1"/>
  <c r="CJ175" i="5" s="1"/>
  <c r="CM175" i="5" s="1"/>
  <c r="CP175" i="5" s="1"/>
  <c r="CS175" i="5" s="1"/>
  <c r="CV175" i="5" s="1"/>
  <c r="CY175" i="5" s="1"/>
  <c r="BR172" i="5"/>
  <c r="BU172" i="5" s="1"/>
  <c r="BX172" i="5" s="1"/>
  <c r="CA172" i="5" s="1"/>
  <c r="CD172" i="5" s="1"/>
  <c r="CG172" i="5" s="1"/>
  <c r="CJ172" i="5" s="1"/>
  <c r="CM172" i="5" s="1"/>
  <c r="CP172" i="5" s="1"/>
  <c r="CS172" i="5" s="1"/>
  <c r="CV172" i="5" s="1"/>
  <c r="CY172" i="5" s="1"/>
  <c r="BR169" i="5"/>
  <c r="BU169" i="5" s="1"/>
  <c r="BX169" i="5" s="1"/>
  <c r="BR161" i="5"/>
  <c r="BR167" i="5" s="1"/>
  <c r="BR158" i="5"/>
  <c r="BU158" i="5" s="1"/>
  <c r="BR157" i="5"/>
  <c r="BR160" i="5" s="1"/>
  <c r="BR153" i="5"/>
  <c r="BU153" i="5" s="1"/>
  <c r="BR152" i="5"/>
  <c r="BU152" i="5" s="1"/>
  <c r="BX152" i="5" s="1"/>
  <c r="CA152" i="5" s="1"/>
  <c r="CD152" i="5" s="1"/>
  <c r="CG152" i="5" s="1"/>
  <c r="CJ152" i="5" s="1"/>
  <c r="CM152" i="5" s="1"/>
  <c r="CP152" i="5" s="1"/>
  <c r="CS152" i="5" s="1"/>
  <c r="CV152" i="5" s="1"/>
  <c r="CY152" i="5" s="1"/>
  <c r="BR144" i="5"/>
  <c r="BR148" i="5" s="1"/>
  <c r="BR143" i="5"/>
  <c r="BR147" i="5" s="1"/>
  <c r="BR142" i="5"/>
  <c r="BU142" i="5" s="1"/>
  <c r="BX142" i="5" s="1"/>
  <c r="CA142" i="5" s="1"/>
  <c r="CD142" i="5" s="1"/>
  <c r="CG142" i="5" s="1"/>
  <c r="CJ142" i="5" s="1"/>
  <c r="CM142" i="5" s="1"/>
  <c r="CP142" i="5" s="1"/>
  <c r="CS142" i="5" s="1"/>
  <c r="CV142" i="5" s="1"/>
  <c r="CY142" i="5" s="1"/>
  <c r="BR140" i="5"/>
  <c r="BU140" i="5" s="1"/>
  <c r="BX140" i="5" s="1"/>
  <c r="CA140" i="5" s="1"/>
  <c r="CD140" i="5" s="1"/>
  <c r="BR134" i="5"/>
  <c r="BU134" i="5" s="1"/>
  <c r="BR133" i="5"/>
  <c r="BR136" i="5" s="1"/>
  <c r="BR128" i="5"/>
  <c r="BU128" i="5" s="1"/>
  <c r="BX128" i="5" s="1"/>
  <c r="CA128" i="5" s="1"/>
  <c r="CD128" i="5" s="1"/>
  <c r="CG128" i="5" s="1"/>
  <c r="CJ128" i="5" s="1"/>
  <c r="CM128" i="5" s="1"/>
  <c r="CP128" i="5" s="1"/>
  <c r="CS128" i="5" s="1"/>
  <c r="CV128" i="5" s="1"/>
  <c r="CY128" i="5" s="1"/>
  <c r="BR127" i="5"/>
  <c r="BU127" i="5" s="1"/>
  <c r="BX127" i="5" s="1"/>
  <c r="CA127" i="5" s="1"/>
  <c r="CD127" i="5" s="1"/>
  <c r="CG127" i="5" s="1"/>
  <c r="CJ127" i="5" s="1"/>
  <c r="CM127" i="5" s="1"/>
  <c r="CP127" i="5" s="1"/>
  <c r="CS127" i="5" s="1"/>
  <c r="CV127" i="5" s="1"/>
  <c r="CY127" i="5" s="1"/>
  <c r="BR126" i="5"/>
  <c r="BU126" i="5" s="1"/>
  <c r="BX126" i="5" s="1"/>
  <c r="CA126" i="5" s="1"/>
  <c r="CD126" i="5" s="1"/>
  <c r="CG126" i="5" s="1"/>
  <c r="CJ126" i="5" s="1"/>
  <c r="CM126" i="5" s="1"/>
  <c r="CP126" i="5" s="1"/>
  <c r="CS126" i="5" s="1"/>
  <c r="CV126" i="5" s="1"/>
  <c r="CY126" i="5" s="1"/>
  <c r="BR125" i="5"/>
  <c r="BU125" i="5" s="1"/>
  <c r="BR113" i="5"/>
  <c r="BR118" i="5" s="1"/>
  <c r="BR110" i="5"/>
  <c r="BU110" i="5" s="1"/>
  <c r="BX110" i="5" s="1"/>
  <c r="CA110" i="5" s="1"/>
  <c r="CD110" i="5" s="1"/>
  <c r="CG110" i="5" s="1"/>
  <c r="CJ110" i="5" s="1"/>
  <c r="CM110" i="5" s="1"/>
  <c r="CP110" i="5" s="1"/>
  <c r="CS110" i="5" s="1"/>
  <c r="CV110" i="5" s="1"/>
  <c r="CY110" i="5" s="1"/>
  <c r="BR109" i="5"/>
  <c r="BU109" i="5" s="1"/>
  <c r="BX109" i="5" s="1"/>
  <c r="CA109" i="5" s="1"/>
  <c r="CD109" i="5" s="1"/>
  <c r="BR108" i="5"/>
  <c r="BU108" i="5" s="1"/>
  <c r="BX108" i="5" s="1"/>
  <c r="CA108" i="5" s="1"/>
  <c r="CD108" i="5" s="1"/>
  <c r="CG108" i="5" s="1"/>
  <c r="CJ108" i="5" s="1"/>
  <c r="CM108" i="5" s="1"/>
  <c r="CP108" i="5" s="1"/>
  <c r="CS108" i="5" s="1"/>
  <c r="CV108" i="5" s="1"/>
  <c r="BR102" i="5"/>
  <c r="BR103" i="5" s="1"/>
  <c r="BR94" i="5"/>
  <c r="BU94" i="5" s="1"/>
  <c r="BR93" i="5"/>
  <c r="BU93" i="5" s="1"/>
  <c r="BX93" i="5" s="1"/>
  <c r="CA93" i="5" s="1"/>
  <c r="CD93" i="5" s="1"/>
  <c r="CG93" i="5" s="1"/>
  <c r="CJ93" i="5" s="1"/>
  <c r="CM93" i="5" s="1"/>
  <c r="CP93" i="5" s="1"/>
  <c r="CS93" i="5" s="1"/>
  <c r="CV93" i="5" s="1"/>
  <c r="CY93" i="5" s="1"/>
  <c r="BR92" i="5"/>
  <c r="BU92" i="5" s="1"/>
  <c r="BX92" i="5" s="1"/>
  <c r="CA92" i="5" s="1"/>
  <c r="CD92" i="5" s="1"/>
  <c r="CG92" i="5" s="1"/>
  <c r="CJ92" i="5" s="1"/>
  <c r="CM92" i="5" s="1"/>
  <c r="CP92" i="5" s="1"/>
  <c r="CS92" i="5" s="1"/>
  <c r="CV92" i="5" s="1"/>
  <c r="CY92" i="5" s="1"/>
  <c r="BR88" i="5"/>
  <c r="BU88" i="5" s="1"/>
  <c r="BX88" i="5" s="1"/>
  <c r="CA88" i="5" s="1"/>
  <c r="CD88" i="5" s="1"/>
  <c r="CG88" i="5" s="1"/>
  <c r="CJ88" i="5" s="1"/>
  <c r="CM88" i="5" s="1"/>
  <c r="CP88" i="5" s="1"/>
  <c r="CS88" i="5" s="1"/>
  <c r="CV88" i="5" s="1"/>
  <c r="CY88" i="5" s="1"/>
  <c r="BR87" i="5"/>
  <c r="BU87" i="5" s="1"/>
  <c r="BX87" i="5" s="1"/>
  <c r="CA87" i="5" s="1"/>
  <c r="CD87" i="5" s="1"/>
  <c r="CG87" i="5" s="1"/>
  <c r="CJ87" i="5" s="1"/>
  <c r="CM87" i="5" s="1"/>
  <c r="CP87" i="5" s="1"/>
  <c r="CS87" i="5" s="1"/>
  <c r="CV87" i="5" s="1"/>
  <c r="CY87" i="5" s="1"/>
  <c r="BR86" i="5"/>
  <c r="BU86" i="5" s="1"/>
  <c r="BX86" i="5" s="1"/>
  <c r="CA86" i="5" s="1"/>
  <c r="BR80" i="5"/>
  <c r="BU80" i="5" s="1"/>
  <c r="BX80" i="5" s="1"/>
  <c r="CA80" i="5" s="1"/>
  <c r="CD80" i="5" s="1"/>
  <c r="CG80" i="5" s="1"/>
  <c r="CJ80" i="5" s="1"/>
  <c r="CM80" i="5" s="1"/>
  <c r="CP80" i="5" s="1"/>
  <c r="CS80" i="5" s="1"/>
  <c r="CV80" i="5" s="1"/>
  <c r="CY80" i="5" s="1"/>
  <c r="BR78" i="5"/>
  <c r="BU78" i="5" s="1"/>
  <c r="BX78" i="5" s="1"/>
  <c r="CA78" i="5" s="1"/>
  <c r="CD78" i="5" s="1"/>
  <c r="CG78" i="5" s="1"/>
  <c r="CJ78" i="5" s="1"/>
  <c r="CM78" i="5" s="1"/>
  <c r="CP78" i="5" s="1"/>
  <c r="CS78" i="5" s="1"/>
  <c r="CV78" i="5" s="1"/>
  <c r="CY78" i="5" s="1"/>
  <c r="BR77" i="5"/>
  <c r="BU77" i="5" s="1"/>
  <c r="BX77" i="5" s="1"/>
  <c r="CA77" i="5" s="1"/>
  <c r="CD77" i="5" s="1"/>
  <c r="CG77" i="5" s="1"/>
  <c r="CJ77" i="5" s="1"/>
  <c r="CM77" i="5" s="1"/>
  <c r="CP77" i="5" s="1"/>
  <c r="CS77" i="5" s="1"/>
  <c r="CV77" i="5" s="1"/>
  <c r="CY77" i="5" s="1"/>
  <c r="BR76" i="5"/>
  <c r="BU76" i="5" s="1"/>
  <c r="BX76" i="5" s="1"/>
  <c r="CA76" i="5" s="1"/>
  <c r="CD76" i="5" s="1"/>
  <c r="CG76" i="5" s="1"/>
  <c r="CJ76" i="5" s="1"/>
  <c r="CM76" i="5" s="1"/>
  <c r="CP76" i="5" s="1"/>
  <c r="CS76" i="5" s="1"/>
  <c r="CV76" i="5" s="1"/>
  <c r="CY76" i="5" s="1"/>
  <c r="BR75" i="5"/>
  <c r="BU75" i="5" s="1"/>
  <c r="BX75" i="5" s="1"/>
  <c r="CA75" i="5" s="1"/>
  <c r="CD75" i="5" s="1"/>
  <c r="CG75" i="5" s="1"/>
  <c r="CJ75" i="5" s="1"/>
  <c r="CM75" i="5" s="1"/>
  <c r="CP75" i="5" s="1"/>
  <c r="CS75" i="5" s="1"/>
  <c r="CV75" i="5" s="1"/>
  <c r="CY75" i="5" s="1"/>
  <c r="BR72" i="5"/>
  <c r="BU72" i="5" s="1"/>
  <c r="BX72" i="5" s="1"/>
  <c r="CA72" i="5" s="1"/>
  <c r="BR67" i="5"/>
  <c r="BU67" i="5" s="1"/>
  <c r="BX67" i="5" s="1"/>
  <c r="CA67" i="5" s="1"/>
  <c r="CD67" i="5" s="1"/>
  <c r="CG67" i="5" s="1"/>
  <c r="CJ67" i="5" s="1"/>
  <c r="CM67" i="5" s="1"/>
  <c r="CP67" i="5" s="1"/>
  <c r="CS67" i="5" s="1"/>
  <c r="CV67" i="5" s="1"/>
  <c r="CY67" i="5" s="1"/>
  <c r="BR48" i="5"/>
  <c r="BU48" i="5" s="1"/>
  <c r="BR40" i="5"/>
  <c r="BR43" i="5" s="1"/>
  <c r="BR32" i="5"/>
  <c r="BU32" i="5" s="1"/>
  <c r="BR26" i="5"/>
  <c r="BU26" i="5" s="1"/>
  <c r="BR14" i="5"/>
  <c r="BR25" i="5" s="1"/>
  <c r="BR13" i="5"/>
  <c r="BR24" i="5" s="1"/>
  <c r="BR12" i="5"/>
  <c r="BU12" i="5" s="1"/>
  <c r="BX12" i="5" s="1"/>
  <c r="CA12" i="5" s="1"/>
  <c r="BR5" i="5"/>
  <c r="BR8" i="5" s="1"/>
  <c r="BR313" i="5"/>
  <c r="BR216" i="5"/>
  <c r="BR180" i="5"/>
  <c r="BR168" i="5"/>
  <c r="BQ336" i="5"/>
  <c r="BQ331" i="5"/>
  <c r="BQ324" i="5"/>
  <c r="BQ320" i="5"/>
  <c r="BQ313" i="5"/>
  <c r="BQ312" i="5"/>
  <c r="BQ278" i="5"/>
  <c r="BQ247" i="5"/>
  <c r="BQ242" i="5"/>
  <c r="BQ241" i="5"/>
  <c r="BQ240" i="5"/>
  <c r="BQ216" i="5"/>
  <c r="BQ212" i="5"/>
  <c r="BQ204" i="5"/>
  <c r="BQ205" i="5"/>
  <c r="BQ203" i="5"/>
  <c r="BQ180" i="5"/>
  <c r="BQ179" i="5"/>
  <c r="BQ168" i="5"/>
  <c r="BQ167" i="5"/>
  <c r="BQ160" i="5"/>
  <c r="BQ159" i="5"/>
  <c r="BQ156" i="5"/>
  <c r="BQ155" i="5"/>
  <c r="BQ148" i="5"/>
  <c r="BQ147" i="5"/>
  <c r="BQ146" i="5"/>
  <c r="BQ137" i="5"/>
  <c r="BQ136" i="5"/>
  <c r="BQ132" i="5"/>
  <c r="BQ131" i="5"/>
  <c r="BQ118" i="5"/>
  <c r="BQ117" i="5"/>
  <c r="BQ103" i="5"/>
  <c r="BQ97" i="5"/>
  <c r="BQ96" i="5"/>
  <c r="BQ84" i="5"/>
  <c r="BQ70" i="5"/>
  <c r="BQ43" i="5"/>
  <c r="BQ37" i="5"/>
  <c r="BQ31" i="5"/>
  <c r="BQ25" i="5"/>
  <c r="BQ24" i="5"/>
  <c r="BQ23" i="5"/>
  <c r="BQ8" i="5"/>
  <c r="BM159" i="5"/>
  <c r="C27" i="59" l="1"/>
  <c r="C27" i="60"/>
  <c r="C27" i="56"/>
  <c r="C16" i="58"/>
  <c r="U16" i="52"/>
  <c r="AA12" i="53"/>
  <c r="AA14" i="53" s="1"/>
  <c r="EG311" i="5"/>
  <c r="DN22" i="4"/>
  <c r="DN124" i="4" s="1"/>
  <c r="DN1" i="4" s="1"/>
  <c r="DQ14" i="4"/>
  <c r="DQ22" i="4" s="1"/>
  <c r="X25" i="53"/>
  <c r="U16" i="53"/>
  <c r="U25" i="53"/>
  <c r="F16" i="52"/>
  <c r="E16" i="52"/>
  <c r="C27" i="54"/>
  <c r="C16" i="54"/>
  <c r="F16" i="53"/>
  <c r="F25" i="53"/>
  <c r="E16" i="53"/>
  <c r="E25" i="53"/>
  <c r="D14" i="54"/>
  <c r="G14" i="54" s="1"/>
  <c r="DK124" i="4"/>
  <c r="DK1" i="4" s="1"/>
  <c r="X5" i="52"/>
  <c r="X9" i="52" s="1"/>
  <c r="U16" i="51"/>
  <c r="F25" i="50"/>
  <c r="E16" i="50"/>
  <c r="E16" i="51"/>
  <c r="E25" i="51"/>
  <c r="F25" i="51"/>
  <c r="F16" i="51"/>
  <c r="E25" i="49"/>
  <c r="E25" i="48"/>
  <c r="F16" i="46"/>
  <c r="F25" i="48"/>
  <c r="F16" i="48"/>
  <c r="F16" i="49"/>
  <c r="F25" i="49"/>
  <c r="D13" i="44"/>
  <c r="D17" i="44" s="1"/>
  <c r="F25" i="47"/>
  <c r="E25" i="45"/>
  <c r="E25" i="47"/>
  <c r="E25" i="46"/>
  <c r="F25" i="45"/>
  <c r="H14" i="45"/>
  <c r="F16" i="45"/>
  <c r="CY108" i="5"/>
  <c r="CS85" i="5"/>
  <c r="CV81" i="5"/>
  <c r="CY181" i="5"/>
  <c r="CE97" i="4"/>
  <c r="CH126" i="4"/>
  <c r="CK126" i="4"/>
  <c r="CN5" i="4"/>
  <c r="BY99" i="4"/>
  <c r="CB66" i="4"/>
  <c r="CE66" i="4" s="1"/>
  <c r="CH66" i="4" s="1"/>
  <c r="CK66" i="4" s="1"/>
  <c r="CN66" i="4" s="1"/>
  <c r="BY122" i="4"/>
  <c r="CB93" i="4"/>
  <c r="CE93" i="4" s="1"/>
  <c r="CH93" i="4" s="1"/>
  <c r="CK93" i="4" s="1"/>
  <c r="CN93" i="4" s="1"/>
  <c r="CE126" i="4"/>
  <c r="CE116" i="4"/>
  <c r="CR355" i="5"/>
  <c r="CO355" i="5"/>
  <c r="CL355" i="5"/>
  <c r="CB126" i="4"/>
  <c r="CI355" i="5"/>
  <c r="BR124" i="4"/>
  <c r="BS99" i="4"/>
  <c r="BY126" i="4"/>
  <c r="BV122" i="4"/>
  <c r="BV126" i="4"/>
  <c r="BV99" i="4"/>
  <c r="BS22" i="4"/>
  <c r="BV11" i="4"/>
  <c r="BY11" i="4" s="1"/>
  <c r="BV24" i="4"/>
  <c r="BS122" i="4"/>
  <c r="BR312" i="5"/>
  <c r="CF355" i="5"/>
  <c r="BR324" i="5"/>
  <c r="CG109" i="5"/>
  <c r="CJ109" i="5" s="1"/>
  <c r="CM109" i="5" s="1"/>
  <c r="CP109" i="5" s="1"/>
  <c r="CS109" i="5" s="1"/>
  <c r="CV109" i="5" s="1"/>
  <c r="CY109" i="5" s="1"/>
  <c r="CG217" i="5"/>
  <c r="CJ217" i="5" s="1"/>
  <c r="CM217" i="5" s="1"/>
  <c r="CP217" i="5" s="1"/>
  <c r="CS217" i="5" s="1"/>
  <c r="CV217" i="5" s="1"/>
  <c r="BX242" i="5"/>
  <c r="CA235" i="5"/>
  <c r="CA278" i="5"/>
  <c r="CD258" i="5"/>
  <c r="CD86" i="5"/>
  <c r="CD12" i="5"/>
  <c r="CA84" i="5"/>
  <c r="CD72" i="5"/>
  <c r="BX179" i="5"/>
  <c r="CA169" i="5"/>
  <c r="CD243" i="5"/>
  <c r="CA347" i="5"/>
  <c r="CD337" i="5"/>
  <c r="CG140" i="5"/>
  <c r="CJ140" i="5" s="1"/>
  <c r="CM140" i="5" s="1"/>
  <c r="CP140" i="5" s="1"/>
  <c r="CS140" i="5" s="1"/>
  <c r="CV140" i="5" s="1"/>
  <c r="CC355" i="5"/>
  <c r="BZ355" i="5"/>
  <c r="BR156" i="5"/>
  <c r="BR37" i="5"/>
  <c r="BR204" i="5"/>
  <c r="BR247" i="5"/>
  <c r="BR212" i="5"/>
  <c r="BU37" i="5"/>
  <c r="BX32" i="5"/>
  <c r="BU156" i="5"/>
  <c r="BX153" i="5"/>
  <c r="BX84" i="5"/>
  <c r="BU324" i="5"/>
  <c r="BX321" i="5"/>
  <c r="BU70" i="5"/>
  <c r="BX48" i="5"/>
  <c r="BU137" i="5"/>
  <c r="BX134" i="5"/>
  <c r="BU159" i="5"/>
  <c r="BX158" i="5"/>
  <c r="BU331" i="5"/>
  <c r="BX325" i="5"/>
  <c r="BU132" i="5"/>
  <c r="BX125" i="5"/>
  <c r="BU204" i="5"/>
  <c r="BX194" i="5"/>
  <c r="BU312" i="5"/>
  <c r="BX300" i="5"/>
  <c r="BU320" i="5"/>
  <c r="BX317" i="5"/>
  <c r="BU31" i="5"/>
  <c r="BX26" i="5"/>
  <c r="BU97" i="5"/>
  <c r="BX94" i="5"/>
  <c r="BR347" i="5"/>
  <c r="BU14" i="5"/>
  <c r="BR137" i="5"/>
  <c r="BX278" i="5"/>
  <c r="BX347" i="5"/>
  <c r="BW355" i="5"/>
  <c r="BR132" i="5"/>
  <c r="BU102" i="5"/>
  <c r="BU144" i="5"/>
  <c r="BU228" i="5"/>
  <c r="BR70" i="5"/>
  <c r="BU332" i="5"/>
  <c r="BS126" i="4"/>
  <c r="BU278" i="5"/>
  <c r="BR31" i="5"/>
  <c r="BT351" i="5"/>
  <c r="BU157" i="5"/>
  <c r="BR97" i="5"/>
  <c r="BR159" i="5"/>
  <c r="BR320" i="5"/>
  <c r="BR23" i="5"/>
  <c r="BR146" i="5"/>
  <c r="BT350" i="5"/>
  <c r="BU113" i="5"/>
  <c r="BU133" i="5"/>
  <c r="BU5" i="5"/>
  <c r="BU84" i="5"/>
  <c r="BU179" i="5"/>
  <c r="BU242" i="5"/>
  <c r="BT353" i="5"/>
  <c r="BU347" i="5"/>
  <c r="BR331" i="5"/>
  <c r="BR242" i="5"/>
  <c r="BU13" i="5"/>
  <c r="BU23" i="5" s="1"/>
  <c r="BU143" i="5"/>
  <c r="BU161" i="5"/>
  <c r="BU206" i="5"/>
  <c r="BU213" i="5"/>
  <c r="BU245" i="5"/>
  <c r="BU40" i="5"/>
  <c r="BT1" i="5"/>
  <c r="BR84" i="5"/>
  <c r="BR278" i="5"/>
  <c r="BR179" i="5"/>
  <c r="BQ351" i="5"/>
  <c r="BQ353" i="5"/>
  <c r="BQ311" i="5"/>
  <c r="BQ350" i="5" s="1"/>
  <c r="BO99" i="4"/>
  <c r="C7" i="53" s="1"/>
  <c r="BO122" i="4"/>
  <c r="C6" i="53" s="1"/>
  <c r="BM198" i="5"/>
  <c r="BR198" i="5" s="1"/>
  <c r="G25" i="39"/>
  <c r="C14" i="39"/>
  <c r="C25" i="39" s="1"/>
  <c r="BM220" i="5"/>
  <c r="BR220" i="5" s="1"/>
  <c r="BU220" i="5" s="1"/>
  <c r="BX220" i="5" s="1"/>
  <c r="CA220" i="5" s="1"/>
  <c r="CD220" i="5" s="1"/>
  <c r="CG220" i="5" s="1"/>
  <c r="CJ220" i="5" s="1"/>
  <c r="CM220" i="5" s="1"/>
  <c r="CP220" i="5" s="1"/>
  <c r="CS220" i="5" s="1"/>
  <c r="CV220" i="5" s="1"/>
  <c r="CY220" i="5" s="1"/>
  <c r="BM221" i="5"/>
  <c r="BR221" i="5" s="1"/>
  <c r="BU221" i="5" s="1"/>
  <c r="BX221" i="5" s="1"/>
  <c r="CA221" i="5" s="1"/>
  <c r="CD221" i="5" s="1"/>
  <c r="CG221" i="5" s="1"/>
  <c r="CJ221" i="5" s="1"/>
  <c r="CM221" i="5" s="1"/>
  <c r="CP221" i="5" s="1"/>
  <c r="CS221" i="5" s="1"/>
  <c r="CV221" i="5" s="1"/>
  <c r="CY221" i="5" s="1"/>
  <c r="BM291" i="5"/>
  <c r="BR291" i="5" s="1"/>
  <c r="BU291" i="5" s="1"/>
  <c r="BX291" i="5" s="1"/>
  <c r="CA291" i="5" s="1"/>
  <c r="CD291" i="5" s="1"/>
  <c r="CG291" i="5" s="1"/>
  <c r="CJ291" i="5" s="1"/>
  <c r="CM291" i="5" s="1"/>
  <c r="CP291" i="5" s="1"/>
  <c r="CS291" i="5" s="1"/>
  <c r="CV291" i="5" s="1"/>
  <c r="CY291" i="5" s="1"/>
  <c r="BM121" i="5"/>
  <c r="BR121" i="5" s="1"/>
  <c r="BM89" i="5"/>
  <c r="BR89" i="5" s="1"/>
  <c r="BU89" i="5" s="1"/>
  <c r="BM122" i="5"/>
  <c r="BR122" i="5" s="1"/>
  <c r="BU122" i="5" s="1"/>
  <c r="BX122" i="5" s="1"/>
  <c r="CA122" i="5" s="1"/>
  <c r="CD122" i="5" s="1"/>
  <c r="CG122" i="5" s="1"/>
  <c r="CJ122" i="5" s="1"/>
  <c r="CM122" i="5" s="1"/>
  <c r="CP122" i="5" s="1"/>
  <c r="CS122" i="5" s="1"/>
  <c r="CV122" i="5" s="1"/>
  <c r="CY122" i="5" s="1"/>
  <c r="BM90" i="5"/>
  <c r="BR90" i="5" s="1"/>
  <c r="BU90" i="5" s="1"/>
  <c r="BX90" i="5" s="1"/>
  <c r="CA90" i="5" s="1"/>
  <c r="CD90" i="5" s="1"/>
  <c r="CG90" i="5" s="1"/>
  <c r="CJ90" i="5" s="1"/>
  <c r="CM90" i="5" s="1"/>
  <c r="CP90" i="5" s="1"/>
  <c r="CS90" i="5" s="1"/>
  <c r="CV90" i="5" s="1"/>
  <c r="CY90" i="5" s="1"/>
  <c r="BM223" i="5"/>
  <c r="BR223" i="5" s="1"/>
  <c r="BU223" i="5" s="1"/>
  <c r="BX223" i="5" s="1"/>
  <c r="CA223" i="5" s="1"/>
  <c r="CD223" i="5" s="1"/>
  <c r="CG223" i="5" s="1"/>
  <c r="CJ223" i="5" s="1"/>
  <c r="CM223" i="5" s="1"/>
  <c r="CP223" i="5" s="1"/>
  <c r="CS223" i="5" s="1"/>
  <c r="CV223" i="5" s="1"/>
  <c r="CY223" i="5" s="1"/>
  <c r="BM292" i="5"/>
  <c r="BR292" i="5" s="1"/>
  <c r="BU292" i="5" s="1"/>
  <c r="BX292" i="5" s="1"/>
  <c r="CA292" i="5" s="1"/>
  <c r="CD292" i="5" s="1"/>
  <c r="CG292" i="5" s="1"/>
  <c r="CJ292" i="5" s="1"/>
  <c r="CM292" i="5" s="1"/>
  <c r="CP292" i="5" s="1"/>
  <c r="CS292" i="5" s="1"/>
  <c r="CV292" i="5" s="1"/>
  <c r="CY292" i="5" s="1"/>
  <c r="BM293" i="5"/>
  <c r="BR293" i="5" s="1"/>
  <c r="BU293" i="5" s="1"/>
  <c r="BX293" i="5" s="1"/>
  <c r="CA293" i="5" s="1"/>
  <c r="CD293" i="5" s="1"/>
  <c r="CG293" i="5" s="1"/>
  <c r="CJ293" i="5" s="1"/>
  <c r="CM293" i="5" s="1"/>
  <c r="CP293" i="5" s="1"/>
  <c r="CS293" i="5" s="1"/>
  <c r="CV293" i="5" s="1"/>
  <c r="CY293" i="5" s="1"/>
  <c r="BM111" i="5"/>
  <c r="BR111" i="5" s="1"/>
  <c r="BM151" i="5"/>
  <c r="BR151" i="5" s="1"/>
  <c r="BM224" i="5"/>
  <c r="BR224" i="5" s="1"/>
  <c r="BU224" i="5" s="1"/>
  <c r="BX224" i="5" s="1"/>
  <c r="CA224" i="5" s="1"/>
  <c r="CD224" i="5" s="1"/>
  <c r="CG224" i="5" s="1"/>
  <c r="CJ224" i="5" s="1"/>
  <c r="CM224" i="5" s="1"/>
  <c r="CP224" i="5" s="1"/>
  <c r="CS224" i="5" s="1"/>
  <c r="CV224" i="5" s="1"/>
  <c r="CY224" i="5" s="1"/>
  <c r="BM123" i="5"/>
  <c r="BR123" i="5" s="1"/>
  <c r="BU123" i="5" s="1"/>
  <c r="BX123" i="5" s="1"/>
  <c r="CA123" i="5" s="1"/>
  <c r="CD123" i="5" s="1"/>
  <c r="CG123" i="5" s="1"/>
  <c r="CJ123" i="5" s="1"/>
  <c r="CM123" i="5" s="1"/>
  <c r="CP123" i="5" s="1"/>
  <c r="CS123" i="5" s="1"/>
  <c r="CV123" i="5" s="1"/>
  <c r="CY123" i="5" s="1"/>
  <c r="BM91" i="5"/>
  <c r="BR91" i="5" s="1"/>
  <c r="BU91" i="5" s="1"/>
  <c r="BX91" i="5" s="1"/>
  <c r="CA91" i="5" s="1"/>
  <c r="CD91" i="5" s="1"/>
  <c r="CG91" i="5" s="1"/>
  <c r="CJ91" i="5" s="1"/>
  <c r="CM91" i="5" s="1"/>
  <c r="CP91" i="5" s="1"/>
  <c r="CS91" i="5" s="1"/>
  <c r="CV91" i="5" s="1"/>
  <c r="CY91" i="5" s="1"/>
  <c r="BP67" i="4"/>
  <c r="AA5" i="53" l="1"/>
  <c r="AA9" i="53" s="1"/>
  <c r="AA16" i="53" s="1"/>
  <c r="D5" i="60"/>
  <c r="D9" i="60" s="1"/>
  <c r="D5" i="61"/>
  <c r="D9" i="61" s="1"/>
  <c r="D5" i="59"/>
  <c r="D9" i="59" s="1"/>
  <c r="D5" i="58"/>
  <c r="D9" i="58" s="1"/>
  <c r="D5" i="56"/>
  <c r="D5" i="54"/>
  <c r="DQ124" i="4"/>
  <c r="DQ1" i="4" s="1"/>
  <c r="C6" i="51"/>
  <c r="C6" i="52"/>
  <c r="C7" i="51"/>
  <c r="C7" i="52"/>
  <c r="X16" i="52"/>
  <c r="X25" i="52"/>
  <c r="CB122" i="4"/>
  <c r="C7" i="48"/>
  <c r="C7" i="50"/>
  <c r="C7" i="49"/>
  <c r="C6" i="48"/>
  <c r="C6" i="50"/>
  <c r="C6" i="49"/>
  <c r="C7" i="47"/>
  <c r="C7" i="46"/>
  <c r="C6" i="47"/>
  <c r="C6" i="46"/>
  <c r="C7" i="14"/>
  <c r="C7" i="45"/>
  <c r="G7" i="45" s="1"/>
  <c r="C6" i="14"/>
  <c r="C6" i="45"/>
  <c r="G6" i="45" s="1"/>
  <c r="CB99" i="4"/>
  <c r="CY140" i="5"/>
  <c r="CV85" i="5"/>
  <c r="CY81" i="5"/>
  <c r="CY85" i="5" s="1"/>
  <c r="CY217" i="5"/>
  <c r="CE122" i="4"/>
  <c r="CH116" i="4"/>
  <c r="CH97" i="4"/>
  <c r="CE99" i="4"/>
  <c r="CN126" i="4"/>
  <c r="BY22" i="4"/>
  <c r="CB11" i="4"/>
  <c r="BY24" i="4"/>
  <c r="CB24" i="4" s="1"/>
  <c r="BV22" i="4"/>
  <c r="BX156" i="5"/>
  <c r="CA153" i="5"/>
  <c r="CD347" i="5"/>
  <c r="CG337" i="5"/>
  <c r="CA179" i="5"/>
  <c r="CD169" i="5"/>
  <c r="CG12" i="5"/>
  <c r="CJ12" i="5" s="1"/>
  <c r="CM12" i="5" s="1"/>
  <c r="CA242" i="5"/>
  <c r="CD235" i="5"/>
  <c r="BX97" i="5"/>
  <c r="CA94" i="5"/>
  <c r="BX204" i="5"/>
  <c r="CA194" i="5"/>
  <c r="BX137" i="5"/>
  <c r="CA134" i="5"/>
  <c r="BX31" i="5"/>
  <c r="CA26" i="5"/>
  <c r="BX312" i="5"/>
  <c r="CA300" i="5"/>
  <c r="BX132" i="5"/>
  <c r="CA125" i="5"/>
  <c r="BX159" i="5"/>
  <c r="CA158" i="5"/>
  <c r="BX70" i="5"/>
  <c r="CA48" i="5"/>
  <c r="CG86" i="5"/>
  <c r="CJ86" i="5" s="1"/>
  <c r="CM86" i="5" s="1"/>
  <c r="CP86" i="5" s="1"/>
  <c r="CS86" i="5" s="1"/>
  <c r="CV86" i="5" s="1"/>
  <c r="BX320" i="5"/>
  <c r="CA317" i="5"/>
  <c r="BX331" i="5"/>
  <c r="CA325" i="5"/>
  <c r="BX324" i="5"/>
  <c r="CA321" i="5"/>
  <c r="BX37" i="5"/>
  <c r="CA32" i="5"/>
  <c r="CG243" i="5"/>
  <c r="CJ243" i="5" s="1"/>
  <c r="CM243" i="5" s="1"/>
  <c r="CP243" i="5" s="1"/>
  <c r="CS243" i="5" s="1"/>
  <c r="CV243" i="5" s="1"/>
  <c r="CD84" i="5"/>
  <c r="CG72" i="5"/>
  <c r="CD278" i="5"/>
  <c r="CG258" i="5"/>
  <c r="BT355" i="5"/>
  <c r="BR351" i="5"/>
  <c r="BU167" i="5"/>
  <c r="BX161" i="5"/>
  <c r="BU43" i="5"/>
  <c r="BX40" i="5"/>
  <c r="BU212" i="5"/>
  <c r="BX206" i="5"/>
  <c r="BU136" i="5"/>
  <c r="BX133" i="5"/>
  <c r="BU160" i="5"/>
  <c r="BX157" i="5"/>
  <c r="BU336" i="5"/>
  <c r="BX332" i="5"/>
  <c r="BX102" i="5"/>
  <c r="BU103" i="5"/>
  <c r="BU25" i="5"/>
  <c r="BX14" i="5"/>
  <c r="BU214" i="5"/>
  <c r="BX213" i="5"/>
  <c r="BU24" i="5"/>
  <c r="BX13" i="5"/>
  <c r="CA13" i="5" s="1"/>
  <c r="BU8" i="5"/>
  <c r="BX5" i="5"/>
  <c r="BU148" i="5"/>
  <c r="BX144" i="5"/>
  <c r="BU118" i="5"/>
  <c r="BX113" i="5"/>
  <c r="BU96" i="5"/>
  <c r="BX89" i="5"/>
  <c r="BU247" i="5"/>
  <c r="BX245" i="5"/>
  <c r="BU147" i="5"/>
  <c r="BX143" i="5"/>
  <c r="CA143" i="5" s="1"/>
  <c r="BU241" i="5"/>
  <c r="BX228" i="5"/>
  <c r="CA228" i="5" s="1"/>
  <c r="BU240" i="5"/>
  <c r="BR155" i="5"/>
  <c r="BU151" i="5"/>
  <c r="BR131" i="5"/>
  <c r="BU121" i="5"/>
  <c r="BU146" i="5"/>
  <c r="BR205" i="5"/>
  <c r="BR353" i="5" s="1"/>
  <c r="BU198" i="5"/>
  <c r="BR117" i="5"/>
  <c r="BU111" i="5"/>
  <c r="BR240" i="5"/>
  <c r="BR96" i="5"/>
  <c r="BQ355" i="5"/>
  <c r="BQ1" i="5"/>
  <c r="BM278" i="5"/>
  <c r="AH278" i="5"/>
  <c r="AH358" i="5"/>
  <c r="AI304" i="5"/>
  <c r="D14" i="34"/>
  <c r="E14" i="34"/>
  <c r="F14" i="34"/>
  <c r="D15" i="34"/>
  <c r="C14" i="34"/>
  <c r="E11" i="34"/>
  <c r="F11" i="34"/>
  <c r="E12" i="34"/>
  <c r="F12" i="34"/>
  <c r="E6" i="34"/>
  <c r="F6" i="34"/>
  <c r="E7" i="34"/>
  <c r="F7" i="34"/>
  <c r="E8" i="34"/>
  <c r="F8" i="34"/>
  <c r="E9" i="34"/>
  <c r="F9" i="34"/>
  <c r="C5" i="34"/>
  <c r="D20" i="33"/>
  <c r="F21" i="33"/>
  <c r="D22" i="33"/>
  <c r="E22" i="33"/>
  <c r="F22" i="33"/>
  <c r="C21" i="33"/>
  <c r="C22" i="33"/>
  <c r="BM183" i="5"/>
  <c r="BR183" i="5" s="1"/>
  <c r="BU183" i="5" s="1"/>
  <c r="BX183" i="5" s="1"/>
  <c r="CA183" i="5" s="1"/>
  <c r="BJ347" i="5"/>
  <c r="BM336" i="5"/>
  <c r="BJ336" i="5"/>
  <c r="BM331" i="5"/>
  <c r="BJ331" i="5"/>
  <c r="BM313" i="5"/>
  <c r="BJ313" i="5"/>
  <c r="BH313" i="5"/>
  <c r="BM312" i="5"/>
  <c r="BJ312" i="5"/>
  <c r="BJ311" i="5"/>
  <c r="BJ278" i="5"/>
  <c r="BM247" i="5"/>
  <c r="BJ247" i="5"/>
  <c r="BM242" i="5"/>
  <c r="BJ242" i="5"/>
  <c r="BM241" i="5"/>
  <c r="BJ241" i="5"/>
  <c r="BM240" i="5"/>
  <c r="BJ240" i="5"/>
  <c r="BJ212" i="5"/>
  <c r="BM212" i="5"/>
  <c r="BM205" i="5"/>
  <c r="BM204" i="5"/>
  <c r="BJ203" i="5"/>
  <c r="BJ205" i="5"/>
  <c r="BJ204" i="5"/>
  <c r="BJ179" i="5"/>
  <c r="BJ168" i="5"/>
  <c r="BJ167" i="5"/>
  <c r="BJ155" i="5"/>
  <c r="BJ146" i="5"/>
  <c r="BM148" i="5"/>
  <c r="BH148" i="5"/>
  <c r="BJ132" i="5"/>
  <c r="BJ131" i="5"/>
  <c r="BJ118" i="5"/>
  <c r="BJ117" i="5"/>
  <c r="BJ96" i="5"/>
  <c r="BJ97" i="5"/>
  <c r="BJ84" i="5"/>
  <c r="BJ43" i="5"/>
  <c r="BJ37" i="5"/>
  <c r="BJ25" i="5"/>
  <c r="BJ24" i="5"/>
  <c r="BJ23" i="5"/>
  <c r="BJ8" i="5"/>
  <c r="BM280" i="5"/>
  <c r="BM279" i="5"/>
  <c r="BM184" i="5"/>
  <c r="BR184" i="5" s="1"/>
  <c r="BU184" i="5" s="1"/>
  <c r="BX184" i="5" s="1"/>
  <c r="CA184" i="5" s="1"/>
  <c r="CD184" i="5" s="1"/>
  <c r="CG184" i="5" s="1"/>
  <c r="CJ184" i="5" s="1"/>
  <c r="CM184" i="5" s="1"/>
  <c r="CP184" i="5" s="1"/>
  <c r="CS184" i="5" s="1"/>
  <c r="CV184" i="5" s="1"/>
  <c r="CY184" i="5" s="1"/>
  <c r="AA25" i="53" l="1"/>
  <c r="D16" i="61"/>
  <c r="D27" i="61"/>
  <c r="D16" i="60"/>
  <c r="D27" i="60"/>
  <c r="D9" i="56"/>
  <c r="G5" i="56"/>
  <c r="D27" i="58"/>
  <c r="D16" i="58"/>
  <c r="D27" i="59"/>
  <c r="D16" i="59"/>
  <c r="D9" i="54"/>
  <c r="D27" i="54" s="1"/>
  <c r="G5" i="54"/>
  <c r="CY86" i="5"/>
  <c r="CY243" i="5"/>
  <c r="CH122" i="4"/>
  <c r="CK116" i="4"/>
  <c r="CK97" i="4"/>
  <c r="CH99" i="4"/>
  <c r="CE24" i="4"/>
  <c r="CB22" i="4"/>
  <c r="CE11" i="4"/>
  <c r="CP12" i="5"/>
  <c r="CS12" i="5" s="1"/>
  <c r="CV12" i="5" s="1"/>
  <c r="CG84" i="5"/>
  <c r="CJ72" i="5"/>
  <c r="CG278" i="5"/>
  <c r="CJ258" i="5"/>
  <c r="CG347" i="5"/>
  <c r="CJ337" i="5"/>
  <c r="CA70" i="5"/>
  <c r="CD48" i="5"/>
  <c r="CA241" i="5"/>
  <c r="CD228" i="5"/>
  <c r="CA159" i="5"/>
  <c r="CD158" i="5"/>
  <c r="CA312" i="5"/>
  <c r="CD300" i="5"/>
  <c r="CA137" i="5"/>
  <c r="CD134" i="5"/>
  <c r="CA97" i="5"/>
  <c r="CD94" i="5"/>
  <c r="CA240" i="5"/>
  <c r="BX214" i="5"/>
  <c r="CA213" i="5"/>
  <c r="CA147" i="5"/>
  <c r="CD143" i="5"/>
  <c r="CA146" i="5"/>
  <c r="BX96" i="5"/>
  <c r="CA89" i="5"/>
  <c r="BX148" i="5"/>
  <c r="CA144" i="5"/>
  <c r="CA24" i="5"/>
  <c r="CD13" i="5"/>
  <c r="CA23" i="5"/>
  <c r="BX25" i="5"/>
  <c r="CA14" i="5"/>
  <c r="BX336" i="5"/>
  <c r="CA332" i="5"/>
  <c r="BX136" i="5"/>
  <c r="CA133" i="5"/>
  <c r="BX43" i="5"/>
  <c r="CA40" i="5"/>
  <c r="CA37" i="5"/>
  <c r="CD32" i="5"/>
  <c r="CA331" i="5"/>
  <c r="CD325" i="5"/>
  <c r="CD242" i="5"/>
  <c r="CG235" i="5"/>
  <c r="CD179" i="5"/>
  <c r="CG169" i="5"/>
  <c r="CA156" i="5"/>
  <c r="CD153" i="5"/>
  <c r="CA204" i="5"/>
  <c r="CD194" i="5"/>
  <c r="CA203" i="5"/>
  <c r="CD183" i="5"/>
  <c r="BX103" i="5"/>
  <c r="CA102" i="5"/>
  <c r="CA132" i="5"/>
  <c r="CD125" i="5"/>
  <c r="CA31" i="5"/>
  <c r="CD26" i="5"/>
  <c r="BX247" i="5"/>
  <c r="CA245" i="5"/>
  <c r="BX118" i="5"/>
  <c r="CA113" i="5"/>
  <c r="BX8" i="5"/>
  <c r="CA5" i="5"/>
  <c r="BX160" i="5"/>
  <c r="CA157" i="5"/>
  <c r="BX212" i="5"/>
  <c r="CA206" i="5"/>
  <c r="BX167" i="5"/>
  <c r="CA161" i="5"/>
  <c r="CD321" i="5"/>
  <c r="CA324" i="5"/>
  <c r="CA320" i="5"/>
  <c r="CD317" i="5"/>
  <c r="BX147" i="5"/>
  <c r="BX146" i="5"/>
  <c r="BX24" i="5"/>
  <c r="BX23" i="5"/>
  <c r="BU117" i="5"/>
  <c r="BX111" i="5"/>
  <c r="BU155" i="5"/>
  <c r="BX151" i="5"/>
  <c r="BX241" i="5"/>
  <c r="BX240" i="5"/>
  <c r="BU351" i="5"/>
  <c r="BX203" i="5"/>
  <c r="BU205" i="5"/>
  <c r="BU353" i="5" s="1"/>
  <c r="BX198" i="5"/>
  <c r="BU131" i="5"/>
  <c r="BX121" i="5"/>
  <c r="BU203" i="5"/>
  <c r="BN280" i="5"/>
  <c r="BR280" i="5"/>
  <c r="BU280" i="5" s="1"/>
  <c r="BX280" i="5" s="1"/>
  <c r="CA280" i="5" s="1"/>
  <c r="CD280" i="5" s="1"/>
  <c r="CG280" i="5" s="1"/>
  <c r="CJ280" i="5" s="1"/>
  <c r="CM280" i="5" s="1"/>
  <c r="CP280" i="5" s="1"/>
  <c r="CS280" i="5" s="1"/>
  <c r="CV280" i="5" s="1"/>
  <c r="CY280" i="5" s="1"/>
  <c r="BM281" i="5"/>
  <c r="BR281" i="5" s="1"/>
  <c r="BU281" i="5" s="1"/>
  <c r="BX281" i="5" s="1"/>
  <c r="CA281" i="5" s="1"/>
  <c r="CD281" i="5" s="1"/>
  <c r="BR279" i="5"/>
  <c r="BU279" i="5" s="1"/>
  <c r="BX279" i="5" s="1"/>
  <c r="CA279" i="5" s="1"/>
  <c r="BR203" i="5"/>
  <c r="BM282" i="5"/>
  <c r="BM203" i="5"/>
  <c r="BN278" i="5"/>
  <c r="BN176" i="5"/>
  <c r="BP97" i="4"/>
  <c r="BP94" i="4"/>
  <c r="BP93" i="4"/>
  <c r="BP92" i="4"/>
  <c r="BP90" i="4"/>
  <c r="BP89" i="4"/>
  <c r="BP88" i="4"/>
  <c r="BP76" i="4"/>
  <c r="BP71" i="4"/>
  <c r="BP66" i="4"/>
  <c r="BP40" i="4"/>
  <c r="BP37" i="4"/>
  <c r="BP28" i="4"/>
  <c r="BP27" i="4"/>
  <c r="BP24" i="4"/>
  <c r="BP21" i="4"/>
  <c r="BP16" i="4"/>
  <c r="BP15" i="4"/>
  <c r="BP13" i="4"/>
  <c r="BP12" i="4"/>
  <c r="BP14" i="4"/>
  <c r="BP11" i="4"/>
  <c r="BP10" i="4"/>
  <c r="BP8" i="4"/>
  <c r="BP7" i="4"/>
  <c r="BP6" i="4"/>
  <c r="BP5" i="4"/>
  <c r="BO25" i="4"/>
  <c r="BP25" i="4" s="1"/>
  <c r="BO126" i="4"/>
  <c r="BO22" i="4"/>
  <c r="C5" i="53" s="1"/>
  <c r="BO313" i="5"/>
  <c r="BN313" i="5"/>
  <c r="BO148" i="5"/>
  <c r="BN336" i="5"/>
  <c r="BN344" i="5"/>
  <c r="BN343" i="5"/>
  <c r="BN342" i="5"/>
  <c r="BO338" i="5"/>
  <c r="BN338" i="5"/>
  <c r="BN337" i="5"/>
  <c r="BN332" i="5"/>
  <c r="BO328" i="5"/>
  <c r="BN328" i="5"/>
  <c r="BO327" i="5"/>
  <c r="BN327" i="5"/>
  <c r="BN325" i="5"/>
  <c r="BN321" i="5"/>
  <c r="BN317" i="5"/>
  <c r="BN306" i="5"/>
  <c r="BN305" i="5"/>
  <c r="BN304" i="5"/>
  <c r="BN303" i="5"/>
  <c r="BN302" i="5"/>
  <c r="BN301" i="5"/>
  <c r="BN300" i="5"/>
  <c r="BN299" i="5"/>
  <c r="BN298" i="5"/>
  <c r="BN297" i="5"/>
  <c r="BN296" i="5"/>
  <c r="BN295" i="5"/>
  <c r="BN294" i="5"/>
  <c r="BN293" i="5"/>
  <c r="BN292" i="5"/>
  <c r="BN291" i="5"/>
  <c r="BN289" i="5"/>
  <c r="BN288" i="5"/>
  <c r="BN287" i="5"/>
  <c r="BN286" i="5"/>
  <c r="BN285" i="5"/>
  <c r="BN283" i="5"/>
  <c r="BN279" i="5"/>
  <c r="BO246" i="5"/>
  <c r="BN246" i="5"/>
  <c r="BN245" i="5"/>
  <c r="BN244" i="5"/>
  <c r="BN243" i="5"/>
  <c r="BN237" i="5"/>
  <c r="BN235" i="5"/>
  <c r="BN233" i="5"/>
  <c r="BN232" i="5"/>
  <c r="BO231" i="5"/>
  <c r="BN231" i="5"/>
  <c r="BN230" i="5"/>
  <c r="BN229" i="5"/>
  <c r="BN228" i="5"/>
  <c r="BN227" i="5"/>
  <c r="BN226" i="5"/>
  <c r="BN225" i="5"/>
  <c r="BN224" i="5"/>
  <c r="BN223" i="5"/>
  <c r="BN222" i="5"/>
  <c r="BN221" i="5"/>
  <c r="BN220" i="5"/>
  <c r="BN218" i="5"/>
  <c r="BN217" i="5"/>
  <c r="BN215" i="5"/>
  <c r="BN208" i="5"/>
  <c r="BN207" i="5"/>
  <c r="BN206" i="5"/>
  <c r="BN198" i="5"/>
  <c r="BN197" i="5"/>
  <c r="BN195" i="5"/>
  <c r="BN194" i="5"/>
  <c r="BN193" i="5"/>
  <c r="BN192" i="5"/>
  <c r="BN191" i="5"/>
  <c r="BN189" i="5"/>
  <c r="BN188" i="5"/>
  <c r="BN187" i="5"/>
  <c r="BN186" i="5"/>
  <c r="BN185" i="5"/>
  <c r="BN184" i="5"/>
  <c r="BN183" i="5"/>
  <c r="BN182" i="5"/>
  <c r="BN181" i="5"/>
  <c r="BN175" i="5"/>
  <c r="BN172" i="5"/>
  <c r="BN169" i="5"/>
  <c r="BN164" i="5"/>
  <c r="BN162" i="5"/>
  <c r="BN161" i="5"/>
  <c r="BN157" i="5"/>
  <c r="BN153" i="5"/>
  <c r="BN151" i="5"/>
  <c r="BN143" i="5"/>
  <c r="BN142" i="5"/>
  <c r="BN140" i="5"/>
  <c r="BN128" i="5"/>
  <c r="BN127" i="5"/>
  <c r="BN126" i="5"/>
  <c r="BN125" i="5"/>
  <c r="BN124" i="5"/>
  <c r="BN123" i="5"/>
  <c r="BN122" i="5"/>
  <c r="BN121" i="5"/>
  <c r="BN113" i="5"/>
  <c r="BN111" i="5"/>
  <c r="BN110" i="5"/>
  <c r="BN109" i="5"/>
  <c r="BN108" i="5"/>
  <c r="BN102" i="5"/>
  <c r="BN94" i="5"/>
  <c r="BN93" i="5"/>
  <c r="BN92" i="5"/>
  <c r="BN91" i="5"/>
  <c r="BN90" i="5"/>
  <c r="BN89" i="5"/>
  <c r="BN88" i="5"/>
  <c r="BN87" i="5"/>
  <c r="BN86" i="5"/>
  <c r="BN80" i="5"/>
  <c r="BN78" i="5"/>
  <c r="BN77" i="5"/>
  <c r="BN76" i="5"/>
  <c r="BN75" i="5"/>
  <c r="BN72" i="5"/>
  <c r="BN67" i="5"/>
  <c r="BN48" i="5"/>
  <c r="BN40" i="5"/>
  <c r="BN32" i="5"/>
  <c r="BN26" i="5"/>
  <c r="BN20" i="5"/>
  <c r="BN13" i="5"/>
  <c r="BN12" i="5"/>
  <c r="BN5" i="5"/>
  <c r="BM347" i="5"/>
  <c r="BN347" i="5" s="1"/>
  <c r="BN331" i="5"/>
  <c r="BM324" i="5"/>
  <c r="BM320" i="5"/>
  <c r="BN242" i="5"/>
  <c r="BM216" i="5"/>
  <c r="BN205" i="5"/>
  <c r="BM180" i="5"/>
  <c r="BM179" i="5"/>
  <c r="BN179" i="5" s="1"/>
  <c r="BM168" i="5"/>
  <c r="BN168" i="5" s="1"/>
  <c r="BM167" i="5"/>
  <c r="BN167" i="5" s="1"/>
  <c r="BM160" i="5"/>
  <c r="BM156" i="5"/>
  <c r="BM155" i="5"/>
  <c r="BM147" i="5"/>
  <c r="BM146" i="5"/>
  <c r="BM137" i="5"/>
  <c r="BM136" i="5"/>
  <c r="BM132" i="5"/>
  <c r="BN132" i="5" s="1"/>
  <c r="BM131" i="5"/>
  <c r="BN131" i="5" s="1"/>
  <c r="BM118" i="5"/>
  <c r="BM117" i="5"/>
  <c r="BN117" i="5" s="1"/>
  <c r="BM103" i="5"/>
  <c r="BM97" i="5"/>
  <c r="BM96" i="5"/>
  <c r="BN96" i="5" s="1"/>
  <c r="BM84" i="5"/>
  <c r="BN84" i="5" s="1"/>
  <c r="BM70" i="5"/>
  <c r="BM43" i="5"/>
  <c r="BN43" i="5" s="1"/>
  <c r="BM37" i="5"/>
  <c r="BN37" i="5" s="1"/>
  <c r="BM31" i="5"/>
  <c r="BM25" i="5"/>
  <c r="BM24" i="5"/>
  <c r="BM23" i="5"/>
  <c r="BN23" i="5" s="1"/>
  <c r="BM8" i="5"/>
  <c r="BK313" i="5"/>
  <c r="G9" i="54" l="1"/>
  <c r="D16" i="54"/>
  <c r="D27" i="56"/>
  <c r="D16" i="56"/>
  <c r="G9" i="56"/>
  <c r="C5" i="51"/>
  <c r="C5" i="52"/>
  <c r="C5" i="48"/>
  <c r="C5" i="50"/>
  <c r="C5" i="49"/>
  <c r="C5" i="47"/>
  <c r="C5" i="46"/>
  <c r="C5" i="14"/>
  <c r="C5" i="45"/>
  <c r="CY12" i="5"/>
  <c r="CH24" i="4"/>
  <c r="CK122" i="4"/>
  <c r="CN116" i="4"/>
  <c r="CN122" i="4" s="1"/>
  <c r="D6" i="53" s="1"/>
  <c r="CK99" i="4"/>
  <c r="CN97" i="4"/>
  <c r="CN99" i="4" s="1"/>
  <c r="D7" i="53" s="1"/>
  <c r="CH11" i="4"/>
  <c r="CE22" i="4"/>
  <c r="CJ84" i="5"/>
  <c r="CM72" i="5"/>
  <c r="CJ347" i="5"/>
  <c r="CM337" i="5"/>
  <c r="CJ278" i="5"/>
  <c r="CM258" i="5"/>
  <c r="CG242" i="5"/>
  <c r="CJ235" i="5"/>
  <c r="CG179" i="5"/>
  <c r="CJ169" i="5"/>
  <c r="BO35" i="4"/>
  <c r="C8" i="53" s="1"/>
  <c r="C9" i="53" s="1"/>
  <c r="BS25" i="4"/>
  <c r="BX205" i="5"/>
  <c r="BX353" i="5" s="1"/>
  <c r="CA198" i="5"/>
  <c r="BX117" i="5"/>
  <c r="CA111" i="5"/>
  <c r="CD331" i="5"/>
  <c r="CG325" i="5"/>
  <c r="CA136" i="5"/>
  <c r="CD133" i="5"/>
  <c r="CA25" i="5"/>
  <c r="CD14" i="5"/>
  <c r="CD213" i="5"/>
  <c r="CA214" i="5"/>
  <c r="CD320" i="5"/>
  <c r="CG317" i="5"/>
  <c r="CD161" i="5"/>
  <c r="CA167" i="5"/>
  <c r="CA160" i="5"/>
  <c r="CD157" i="5"/>
  <c r="CA118" i="5"/>
  <c r="CA351" i="5" s="1"/>
  <c r="CD113" i="5"/>
  <c r="CD132" i="5"/>
  <c r="CG125" i="5"/>
  <c r="CA103" i="5"/>
  <c r="CD102" i="5"/>
  <c r="CD204" i="5"/>
  <c r="CG194" i="5"/>
  <c r="CG13" i="5"/>
  <c r="CJ13" i="5" s="1"/>
  <c r="CM13" i="5" s="1"/>
  <c r="CD24" i="5"/>
  <c r="CD23" i="5"/>
  <c r="CD89" i="5"/>
  <c r="CA96" i="5"/>
  <c r="CD137" i="5"/>
  <c r="CG134" i="5"/>
  <c r="CG158" i="5"/>
  <c r="CD159" i="5"/>
  <c r="CD70" i="5"/>
  <c r="CG48" i="5"/>
  <c r="BX155" i="5"/>
  <c r="CA151" i="5"/>
  <c r="CA43" i="5"/>
  <c r="CD40" i="5"/>
  <c r="CD147" i="5"/>
  <c r="CG143" i="5"/>
  <c r="CJ143" i="5" s="1"/>
  <c r="CM143" i="5" s="1"/>
  <c r="CD146" i="5"/>
  <c r="CG281" i="5"/>
  <c r="CJ281" i="5" s="1"/>
  <c r="CM281" i="5" s="1"/>
  <c r="CP281" i="5" s="1"/>
  <c r="CS281" i="5" s="1"/>
  <c r="CV281" i="5" s="1"/>
  <c r="CY281" i="5" s="1"/>
  <c r="BX131" i="5"/>
  <c r="CA121" i="5"/>
  <c r="CD324" i="5"/>
  <c r="CG321" i="5"/>
  <c r="CD156" i="5"/>
  <c r="CG153" i="5"/>
  <c r="CG32" i="5"/>
  <c r="CD37" i="5"/>
  <c r="CA336" i="5"/>
  <c r="CD332" i="5"/>
  <c r="CD279" i="5"/>
  <c r="CG279" i="5" s="1"/>
  <c r="CJ279" i="5" s="1"/>
  <c r="CM279" i="5" s="1"/>
  <c r="CP279" i="5" s="1"/>
  <c r="CS279" i="5" s="1"/>
  <c r="CV279" i="5" s="1"/>
  <c r="CA212" i="5"/>
  <c r="CD206" i="5"/>
  <c r="CD5" i="5"/>
  <c r="CA8" i="5"/>
  <c r="CD245" i="5"/>
  <c r="CA247" i="5"/>
  <c r="CD31" i="5"/>
  <c r="CG26" i="5"/>
  <c r="CG183" i="5"/>
  <c r="CJ183" i="5" s="1"/>
  <c r="CM183" i="5" s="1"/>
  <c r="CP183" i="5" s="1"/>
  <c r="CS183" i="5" s="1"/>
  <c r="CV183" i="5" s="1"/>
  <c r="CD203" i="5"/>
  <c r="CA148" i="5"/>
  <c r="CD144" i="5"/>
  <c r="CD97" i="5"/>
  <c r="CG94" i="5"/>
  <c r="CD312" i="5"/>
  <c r="CG300" i="5"/>
  <c r="CD241" i="5"/>
  <c r="CG228" i="5"/>
  <c r="CJ228" i="5" s="1"/>
  <c r="CM228" i="5" s="1"/>
  <c r="CP228" i="5" s="1"/>
  <c r="CS228" i="5" s="1"/>
  <c r="CV228" i="5" s="1"/>
  <c r="CD240" i="5"/>
  <c r="BX351" i="5"/>
  <c r="F7" i="33"/>
  <c r="F6" i="33"/>
  <c r="BN281" i="5"/>
  <c r="BN282" i="5"/>
  <c r="BR282" i="5"/>
  <c r="BU282" i="5" s="1"/>
  <c r="BM311" i="5"/>
  <c r="BN311" i="5" s="1"/>
  <c r="BM353" i="5"/>
  <c r="BN24" i="5"/>
  <c r="BN8" i="5"/>
  <c r="BN25" i="5"/>
  <c r="BN118" i="5"/>
  <c r="BN312" i="5"/>
  <c r="BN247" i="5"/>
  <c r="BN240" i="5"/>
  <c r="BN241" i="5"/>
  <c r="BN212" i="5"/>
  <c r="BN203" i="5"/>
  <c r="BN204" i="5"/>
  <c r="BN155" i="5"/>
  <c r="BN146" i="5"/>
  <c r="BN97" i="5"/>
  <c r="BM351" i="5"/>
  <c r="BM112" i="4"/>
  <c r="BM111" i="4"/>
  <c r="BJ324" i="5"/>
  <c r="BN324" i="5" s="1"/>
  <c r="BJ320" i="5"/>
  <c r="BJ216" i="5"/>
  <c r="BJ180" i="5"/>
  <c r="BJ160" i="5"/>
  <c r="BJ148" i="5"/>
  <c r="BJ147" i="5"/>
  <c r="BN147" i="5" s="1"/>
  <c r="BJ137" i="5"/>
  <c r="BN137" i="5" s="1"/>
  <c r="BJ136" i="5"/>
  <c r="BJ103" i="5"/>
  <c r="BJ70" i="5"/>
  <c r="BJ31" i="5"/>
  <c r="BL126" i="4"/>
  <c r="BP126" i="4" s="1"/>
  <c r="BL122" i="4"/>
  <c r="BL99" i="4"/>
  <c r="BL35" i="4"/>
  <c r="BL22" i="4"/>
  <c r="BG347" i="5"/>
  <c r="BH344" i="5"/>
  <c r="BH308" i="5"/>
  <c r="BK308" i="5" s="1"/>
  <c r="BG168" i="5"/>
  <c r="BG167" i="5"/>
  <c r="BH161" i="5"/>
  <c r="BH157" i="5"/>
  <c r="BG160" i="5"/>
  <c r="BE160" i="5"/>
  <c r="BD160" i="5"/>
  <c r="BB160" i="5"/>
  <c r="BA160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H160" i="5"/>
  <c r="AG160" i="5"/>
  <c r="AE160" i="5"/>
  <c r="L160" i="5"/>
  <c r="N160" i="5" s="1"/>
  <c r="AB160" i="5"/>
  <c r="AA160" i="5"/>
  <c r="Y160" i="5"/>
  <c r="T160" i="5"/>
  <c r="S160" i="5"/>
  <c r="R160" i="5"/>
  <c r="Q160" i="5"/>
  <c r="BG336" i="5"/>
  <c r="BG331" i="5"/>
  <c r="BG324" i="5"/>
  <c r="BG320" i="5"/>
  <c r="BG313" i="5"/>
  <c r="BG312" i="5"/>
  <c r="BG311" i="5"/>
  <c r="BG278" i="5"/>
  <c r="BG247" i="5"/>
  <c r="BG242" i="5"/>
  <c r="BG241" i="5"/>
  <c r="BG240" i="5"/>
  <c r="BG216" i="5"/>
  <c r="BG212" i="5"/>
  <c r="BG205" i="5"/>
  <c r="BG204" i="5"/>
  <c r="BG203" i="5"/>
  <c r="BG180" i="5"/>
  <c r="BG179" i="5"/>
  <c r="BG156" i="5"/>
  <c r="BG155" i="5"/>
  <c r="BG148" i="5"/>
  <c r="BG147" i="5"/>
  <c r="BG146" i="5"/>
  <c r="BH137" i="5"/>
  <c r="BO137" i="5" s="1"/>
  <c r="BG137" i="5"/>
  <c r="BH136" i="5"/>
  <c r="BO136" i="5" s="1"/>
  <c r="BG136" i="5"/>
  <c r="BG132" i="5"/>
  <c r="BG131" i="5"/>
  <c r="BG118" i="5"/>
  <c r="BG117" i="5"/>
  <c r="BG103" i="5"/>
  <c r="BG97" i="5"/>
  <c r="BG96" i="5"/>
  <c r="BG84" i="5"/>
  <c r="BG70" i="5"/>
  <c r="BG43" i="5"/>
  <c r="BG37" i="5"/>
  <c r="BG31" i="5"/>
  <c r="BG25" i="5"/>
  <c r="BG24" i="5"/>
  <c r="BG23" i="5"/>
  <c r="BG8" i="5"/>
  <c r="C13" i="52" l="1"/>
  <c r="C13" i="53"/>
  <c r="C8" i="51"/>
  <c r="C9" i="51" s="1"/>
  <c r="C8" i="52"/>
  <c r="C9" i="52" s="1"/>
  <c r="D7" i="51"/>
  <c r="D7" i="52"/>
  <c r="D6" i="51"/>
  <c r="D6" i="52"/>
  <c r="C13" i="50"/>
  <c r="C13" i="51"/>
  <c r="D6" i="48"/>
  <c r="D6" i="50"/>
  <c r="D6" i="49"/>
  <c r="C8" i="48"/>
  <c r="C9" i="48" s="1"/>
  <c r="C8" i="49"/>
  <c r="C9" i="49" s="1"/>
  <c r="C8" i="50"/>
  <c r="C9" i="50" s="1"/>
  <c r="D7" i="48"/>
  <c r="D7" i="49"/>
  <c r="D7" i="50"/>
  <c r="C13" i="48"/>
  <c r="C13" i="49"/>
  <c r="C8" i="47"/>
  <c r="C9" i="47" s="1"/>
  <c r="C8" i="46"/>
  <c r="C9" i="46" s="1"/>
  <c r="D7" i="47"/>
  <c r="D7" i="46"/>
  <c r="D6" i="47"/>
  <c r="D6" i="46"/>
  <c r="C13" i="14"/>
  <c r="C13" i="47"/>
  <c r="C13" i="46"/>
  <c r="C13" i="45"/>
  <c r="G13" i="45" s="1"/>
  <c r="C8" i="14"/>
  <c r="C8" i="45"/>
  <c r="G8" i="45" s="1"/>
  <c r="D6" i="14"/>
  <c r="D6" i="45"/>
  <c r="G5" i="45"/>
  <c r="D7" i="14"/>
  <c r="D7" i="45"/>
  <c r="CY279" i="5"/>
  <c r="CY183" i="5"/>
  <c r="CV241" i="5"/>
  <c r="CY228" i="5"/>
  <c r="CV240" i="5"/>
  <c r="CK24" i="4"/>
  <c r="CK11" i="4"/>
  <c r="CH22" i="4"/>
  <c r="CS241" i="5"/>
  <c r="CS240" i="5"/>
  <c r="CM146" i="5"/>
  <c r="CP143" i="5"/>
  <c r="CS143" i="5" s="1"/>
  <c r="CV143" i="5" s="1"/>
  <c r="CM347" i="5"/>
  <c r="CP337" i="5"/>
  <c r="CM278" i="5"/>
  <c r="CP258" i="5"/>
  <c r="CM84" i="5"/>
  <c r="CP72" i="5"/>
  <c r="CP13" i="5"/>
  <c r="CS13" i="5" s="1"/>
  <c r="CV13" i="5" s="1"/>
  <c r="CM23" i="5"/>
  <c r="CP241" i="5"/>
  <c r="CP240" i="5"/>
  <c r="CJ179" i="5"/>
  <c r="CM169" i="5"/>
  <c r="CM241" i="5"/>
  <c r="CM240" i="5"/>
  <c r="CM147" i="5"/>
  <c r="CM24" i="5"/>
  <c r="CJ242" i="5"/>
  <c r="CM235" i="5"/>
  <c r="F5" i="33"/>
  <c r="CG312" i="5"/>
  <c r="CJ300" i="5"/>
  <c r="CG31" i="5"/>
  <c r="CJ26" i="5"/>
  <c r="CG37" i="5"/>
  <c r="CJ32" i="5"/>
  <c r="CG324" i="5"/>
  <c r="CJ321" i="5"/>
  <c r="CG70" i="5"/>
  <c r="CJ48" i="5"/>
  <c r="CG137" i="5"/>
  <c r="CJ134" i="5"/>
  <c r="CJ241" i="5"/>
  <c r="CJ240" i="5"/>
  <c r="CG97" i="5"/>
  <c r="CJ94" i="5"/>
  <c r="CG159" i="5"/>
  <c r="CJ158" i="5"/>
  <c r="CG204" i="5"/>
  <c r="CJ194" i="5"/>
  <c r="CG132" i="5"/>
  <c r="CJ125" i="5"/>
  <c r="CG320" i="5"/>
  <c r="CJ317" i="5"/>
  <c r="CG331" i="5"/>
  <c r="CJ325" i="5"/>
  <c r="CG156" i="5"/>
  <c r="CJ153" i="5"/>
  <c r="CJ147" i="5"/>
  <c r="CJ146" i="5"/>
  <c r="CJ24" i="5"/>
  <c r="CJ23" i="5"/>
  <c r="BP99" i="4"/>
  <c r="BV25" i="4"/>
  <c r="BS35" i="4"/>
  <c r="BO124" i="4"/>
  <c r="BP35" i="4"/>
  <c r="CD148" i="5"/>
  <c r="CG144" i="5"/>
  <c r="CG147" i="5"/>
  <c r="CG146" i="5"/>
  <c r="CA155" i="5"/>
  <c r="CD151" i="5"/>
  <c r="CD103" i="5"/>
  <c r="CG102" i="5"/>
  <c r="CD118" i="5"/>
  <c r="CD351" i="5" s="1"/>
  <c r="CG113" i="5"/>
  <c r="CG245" i="5"/>
  <c r="CD247" i="5"/>
  <c r="CD25" i="5"/>
  <c r="CG14" i="5"/>
  <c r="CA205" i="5"/>
  <c r="CA353" i="5" s="1"/>
  <c r="CD198" i="5"/>
  <c r="CG203" i="5"/>
  <c r="CG241" i="5"/>
  <c r="CG240" i="5"/>
  <c r="CD212" i="5"/>
  <c r="CG206" i="5"/>
  <c r="CG332" i="5"/>
  <c r="CD336" i="5"/>
  <c r="CA131" i="5"/>
  <c r="CD121" i="5"/>
  <c r="CD43" i="5"/>
  <c r="CG40" i="5"/>
  <c r="CG89" i="5"/>
  <c r="CD96" i="5"/>
  <c r="CG157" i="5"/>
  <c r="CD160" i="5"/>
  <c r="CD214" i="5"/>
  <c r="CG213" i="5"/>
  <c r="CD8" i="5"/>
  <c r="CG5" i="5"/>
  <c r="CJ5" i="5" s="1"/>
  <c r="CG24" i="5"/>
  <c r="CG23" i="5"/>
  <c r="CD167" i="5"/>
  <c r="CG161" i="5"/>
  <c r="CD136" i="5"/>
  <c r="CG133" i="5"/>
  <c r="CD111" i="5"/>
  <c r="CA117" i="5"/>
  <c r="BU311" i="5"/>
  <c r="BU350" i="5" s="1"/>
  <c r="BU355" i="5" s="1"/>
  <c r="BX282" i="5"/>
  <c r="CA282" i="5" s="1"/>
  <c r="BP122" i="4"/>
  <c r="BR311" i="5"/>
  <c r="BR1" i="5" s="1"/>
  <c r="F13" i="33"/>
  <c r="BN180" i="5"/>
  <c r="BJ353" i="5"/>
  <c r="BN353" i="5" s="1"/>
  <c r="BM350" i="5"/>
  <c r="BM1" i="5"/>
  <c r="BP22" i="4"/>
  <c r="BG353" i="5"/>
  <c r="BH167" i="5"/>
  <c r="BO161" i="5"/>
  <c r="BK161" i="5"/>
  <c r="BN148" i="5"/>
  <c r="BK148" i="5"/>
  <c r="BH160" i="5"/>
  <c r="BO160" i="5" s="1"/>
  <c r="BO157" i="5"/>
  <c r="BK157" i="5"/>
  <c r="BJ350" i="5"/>
  <c r="BO344" i="5"/>
  <c r="BK344" i="5"/>
  <c r="BN160" i="5"/>
  <c r="BN70" i="5"/>
  <c r="BN216" i="5"/>
  <c r="BN320" i="5"/>
  <c r="BK137" i="5"/>
  <c r="BN103" i="5"/>
  <c r="BN31" i="5"/>
  <c r="BK136" i="5"/>
  <c r="BN136" i="5"/>
  <c r="BL124" i="4"/>
  <c r="BJ156" i="5"/>
  <c r="BJ1" i="5" s="1"/>
  <c r="U160" i="5"/>
  <c r="M160" i="5"/>
  <c r="BG351" i="5"/>
  <c r="BG350" i="5"/>
  <c r="BD203" i="5"/>
  <c r="BD70" i="5"/>
  <c r="BJ27" i="4"/>
  <c r="BM27" i="4" s="1"/>
  <c r="BI99" i="4"/>
  <c r="BD240" i="5"/>
  <c r="BD168" i="5"/>
  <c r="BD167" i="5"/>
  <c r="BE162" i="5"/>
  <c r="BH162" i="5" s="1"/>
  <c r="BE142" i="5"/>
  <c r="BH142" i="5" s="1"/>
  <c r="BI22" i="4"/>
  <c r="C12" i="52" l="1"/>
  <c r="C14" i="52" s="1"/>
  <c r="C16" i="52" s="1"/>
  <c r="C12" i="53"/>
  <c r="C14" i="53" s="1"/>
  <c r="C12" i="50"/>
  <c r="C14" i="50" s="1"/>
  <c r="C16" i="50" s="1"/>
  <c r="C12" i="51"/>
  <c r="C14" i="51" s="1"/>
  <c r="C12" i="48"/>
  <c r="C14" i="48" s="1"/>
  <c r="C25" i="48" s="1"/>
  <c r="C12" i="49"/>
  <c r="C14" i="49" s="1"/>
  <c r="C12" i="14"/>
  <c r="C12" i="47"/>
  <c r="C14" i="47" s="1"/>
  <c r="C25" i="47" s="1"/>
  <c r="C12" i="46"/>
  <c r="C14" i="46" s="1"/>
  <c r="C25" i="46" s="1"/>
  <c r="C12" i="45"/>
  <c r="C9" i="45"/>
  <c r="CV24" i="5"/>
  <c r="CY13" i="5"/>
  <c r="CV23" i="5"/>
  <c r="CV147" i="5"/>
  <c r="CY143" i="5"/>
  <c r="CV146" i="5"/>
  <c r="CY241" i="5"/>
  <c r="CY240" i="5"/>
  <c r="CN24" i="4"/>
  <c r="CN11" i="4"/>
  <c r="CN22" i="4" s="1"/>
  <c r="D5" i="53" s="1"/>
  <c r="CK22" i="4"/>
  <c r="CS24" i="5"/>
  <c r="CS23" i="5"/>
  <c r="CP278" i="5"/>
  <c r="CS258" i="5"/>
  <c r="CS147" i="5"/>
  <c r="CS146" i="5"/>
  <c r="CP84" i="5"/>
  <c r="CS72" i="5"/>
  <c r="CP347" i="5"/>
  <c r="CS337" i="5"/>
  <c r="CM242" i="5"/>
  <c r="CP235" i="5"/>
  <c r="CP24" i="5"/>
  <c r="CP23" i="5"/>
  <c r="CP147" i="5"/>
  <c r="CP146" i="5"/>
  <c r="CM179" i="5"/>
  <c r="CP169" i="5"/>
  <c r="CJ320" i="5"/>
  <c r="CM317" i="5"/>
  <c r="CJ97" i="5"/>
  <c r="CM94" i="5"/>
  <c r="CJ324" i="5"/>
  <c r="CM321" i="5"/>
  <c r="CJ31" i="5"/>
  <c r="CM26" i="5"/>
  <c r="CJ156" i="5"/>
  <c r="CM153" i="5"/>
  <c r="CJ204" i="5"/>
  <c r="CM194" i="5"/>
  <c r="CP194" i="5" s="1"/>
  <c r="CS194" i="5" s="1"/>
  <c r="CV194" i="5" s="1"/>
  <c r="CJ137" i="5"/>
  <c r="CM134" i="5"/>
  <c r="CJ331" i="5"/>
  <c r="CM325" i="5"/>
  <c r="CJ132" i="5"/>
  <c r="CM125" i="5"/>
  <c r="CJ159" i="5"/>
  <c r="CM158" i="5"/>
  <c r="CJ70" i="5"/>
  <c r="CM48" i="5"/>
  <c r="CJ37" i="5"/>
  <c r="CM32" i="5"/>
  <c r="CJ312" i="5"/>
  <c r="CM300" i="5"/>
  <c r="CJ8" i="5"/>
  <c r="CM5" i="5"/>
  <c r="CG96" i="5"/>
  <c r="CJ89" i="5"/>
  <c r="CG214" i="5"/>
  <c r="CJ213" i="5"/>
  <c r="CG212" i="5"/>
  <c r="CJ206" i="5"/>
  <c r="CG118" i="5"/>
  <c r="CG351" i="5" s="1"/>
  <c r="CJ113" i="5"/>
  <c r="CM113" i="5" s="1"/>
  <c r="CG148" i="5"/>
  <c r="CJ144" i="5"/>
  <c r="CJ203" i="5"/>
  <c r="CG43" i="5"/>
  <c r="CJ40" i="5"/>
  <c r="CG247" i="5"/>
  <c r="CJ245" i="5"/>
  <c r="CG103" i="5"/>
  <c r="CJ102" i="5"/>
  <c r="CG136" i="5"/>
  <c r="CJ133" i="5"/>
  <c r="CG167" i="5"/>
  <c r="CJ161" i="5"/>
  <c r="CG160" i="5"/>
  <c r="CJ157" i="5"/>
  <c r="CG336" i="5"/>
  <c r="CJ332" i="5"/>
  <c r="CG25" i="5"/>
  <c r="CJ14" i="5"/>
  <c r="F8" i="33"/>
  <c r="E7" i="33"/>
  <c r="BY25" i="4"/>
  <c r="BV35" i="4"/>
  <c r="E8" i="33"/>
  <c r="BS124" i="4"/>
  <c r="CG8" i="5"/>
  <c r="CG111" i="5"/>
  <c r="CD117" i="5"/>
  <c r="CD155" i="5"/>
  <c r="CG151" i="5"/>
  <c r="CD205" i="5"/>
  <c r="CD353" i="5" s="1"/>
  <c r="CG198" i="5"/>
  <c r="CJ198" i="5" s="1"/>
  <c r="BM355" i="5"/>
  <c r="CD131" i="5"/>
  <c r="CG121" i="5"/>
  <c r="CD282" i="5"/>
  <c r="CA311" i="5"/>
  <c r="BU1" i="5"/>
  <c r="BX311" i="5"/>
  <c r="BX350" i="5" s="1"/>
  <c r="E5" i="33"/>
  <c r="E6" i="33"/>
  <c r="BR350" i="5"/>
  <c r="BR355" i="5" s="1"/>
  <c r="BJ359" i="5"/>
  <c r="F14" i="33"/>
  <c r="BP124" i="4"/>
  <c r="BK160" i="5"/>
  <c r="BN156" i="5"/>
  <c r="BJ355" i="5"/>
  <c r="BK167" i="5"/>
  <c r="BO167" i="5"/>
  <c r="BO162" i="5"/>
  <c r="BK162" i="5"/>
  <c r="BO142" i="5"/>
  <c r="BK142" i="5"/>
  <c r="BN350" i="5"/>
  <c r="BJ351" i="5"/>
  <c r="BG355" i="5"/>
  <c r="BG1" i="5" s="1"/>
  <c r="H23" i="38"/>
  <c r="C25" i="52" l="1"/>
  <c r="C25" i="53"/>
  <c r="C16" i="53"/>
  <c r="D5" i="51"/>
  <c r="D5" i="52"/>
  <c r="C25" i="50"/>
  <c r="C16" i="51"/>
  <c r="C25" i="51"/>
  <c r="D5" i="48"/>
  <c r="D5" i="50"/>
  <c r="D5" i="49"/>
  <c r="C16" i="48"/>
  <c r="C16" i="49"/>
  <c r="C25" i="49"/>
  <c r="C14" i="45"/>
  <c r="G14" i="45" s="1"/>
  <c r="G12" i="45"/>
  <c r="D5" i="47"/>
  <c r="D5" i="46"/>
  <c r="C16" i="46"/>
  <c r="C16" i="47"/>
  <c r="G9" i="45"/>
  <c r="D5" i="14"/>
  <c r="D5" i="45"/>
  <c r="CS84" i="5"/>
  <c r="CV72" i="5"/>
  <c r="CS278" i="5"/>
  <c r="CV258" i="5"/>
  <c r="CY147" i="5"/>
  <c r="CY146" i="5"/>
  <c r="CY24" i="5"/>
  <c r="CY23" i="5"/>
  <c r="CY194" i="5"/>
  <c r="CV204" i="5"/>
  <c r="CV203" i="5"/>
  <c r="CS347" i="5"/>
  <c r="CV337" i="5"/>
  <c r="BY35" i="4"/>
  <c r="BY124" i="4" s="1"/>
  <c r="CB25" i="4"/>
  <c r="CS204" i="5"/>
  <c r="CS203" i="5"/>
  <c r="CP179" i="5"/>
  <c r="CS169" i="5"/>
  <c r="CP242" i="5"/>
  <c r="CS235" i="5"/>
  <c r="CM118" i="5"/>
  <c r="CP113" i="5"/>
  <c r="CM8" i="5"/>
  <c r="CP5" i="5"/>
  <c r="CM37" i="5"/>
  <c r="CP32" i="5"/>
  <c r="CM159" i="5"/>
  <c r="CP158" i="5"/>
  <c r="CM331" i="5"/>
  <c r="CP325" i="5"/>
  <c r="CP204" i="5"/>
  <c r="CP203" i="5"/>
  <c r="CM31" i="5"/>
  <c r="CP26" i="5"/>
  <c r="CM97" i="5"/>
  <c r="CP94" i="5"/>
  <c r="CM312" i="5"/>
  <c r="CP300" i="5"/>
  <c r="CM70" i="5"/>
  <c r="CP48" i="5"/>
  <c r="CM132" i="5"/>
  <c r="CP125" i="5"/>
  <c r="CM137" i="5"/>
  <c r="CP134" i="5"/>
  <c r="CM156" i="5"/>
  <c r="CP153" i="5"/>
  <c r="CM324" i="5"/>
  <c r="CP321" i="5"/>
  <c r="CM320" i="5"/>
  <c r="CP317" i="5"/>
  <c r="BN355" i="5"/>
  <c r="CJ25" i="5"/>
  <c r="CM14" i="5"/>
  <c r="CP14" i="5" s="1"/>
  <c r="CJ136" i="5"/>
  <c r="CM133" i="5"/>
  <c r="CM204" i="5"/>
  <c r="CM203" i="5"/>
  <c r="CJ214" i="5"/>
  <c r="CM213" i="5"/>
  <c r="CJ160" i="5"/>
  <c r="CM157" i="5"/>
  <c r="CJ247" i="5"/>
  <c r="CM245" i="5"/>
  <c r="CJ205" i="5"/>
  <c r="CM198" i="5"/>
  <c r="CJ336" i="5"/>
  <c r="CM332" i="5"/>
  <c r="CJ167" i="5"/>
  <c r="CM161" i="5"/>
  <c r="CJ103" i="5"/>
  <c r="CM102" i="5"/>
  <c r="CJ43" i="5"/>
  <c r="CM40" i="5"/>
  <c r="CJ148" i="5"/>
  <c r="CM144" i="5"/>
  <c r="CJ212" i="5"/>
  <c r="CM206" i="5"/>
  <c r="CJ96" i="5"/>
  <c r="CM89" i="5"/>
  <c r="CG131" i="5"/>
  <c r="CJ121" i="5"/>
  <c r="CG155" i="5"/>
  <c r="CJ151" i="5"/>
  <c r="CG117" i="5"/>
  <c r="CJ111" i="5"/>
  <c r="CJ118" i="5"/>
  <c r="CJ351" i="5" s="1"/>
  <c r="BV124" i="4"/>
  <c r="CG205" i="5"/>
  <c r="CG353" i="5" s="1"/>
  <c r="CA350" i="5"/>
  <c r="CA1" i="5"/>
  <c r="CG282" i="5"/>
  <c r="CD311" i="5"/>
  <c r="CD350" i="5" s="1"/>
  <c r="BX355" i="5"/>
  <c r="BX1" i="5"/>
  <c r="E12" i="33"/>
  <c r="E14" i="33"/>
  <c r="F12" i="33"/>
  <c r="E13" i="33"/>
  <c r="BN351" i="5"/>
  <c r="BD24" i="5"/>
  <c r="BD25" i="5"/>
  <c r="BI122" i="4"/>
  <c r="Q6" i="38" s="1"/>
  <c r="BJ106" i="4"/>
  <c r="BM106" i="4" s="1"/>
  <c r="BJ76" i="4"/>
  <c r="BM76" i="4" s="1"/>
  <c r="BA5" i="4"/>
  <c r="BD5" i="4" s="1"/>
  <c r="N23" i="38"/>
  <c r="K23" i="38"/>
  <c r="F23" i="38"/>
  <c r="D23" i="38"/>
  <c r="C23" i="38"/>
  <c r="I20" i="38"/>
  <c r="L20" i="38" s="1"/>
  <c r="K8" i="38"/>
  <c r="N7" i="38"/>
  <c r="K7" i="38"/>
  <c r="N6" i="38"/>
  <c r="K6" i="38"/>
  <c r="N5" i="38"/>
  <c r="K5" i="38"/>
  <c r="Q7" i="38"/>
  <c r="Q5" i="38"/>
  <c r="BC124" i="4"/>
  <c r="BC1" i="4" s="1"/>
  <c r="BD117" i="5"/>
  <c r="AW1" i="5"/>
  <c r="BD347" i="5"/>
  <c r="BD336" i="5"/>
  <c r="BD331" i="5"/>
  <c r="BD324" i="5"/>
  <c r="BD320" i="5"/>
  <c r="BE313" i="5"/>
  <c r="BD313" i="5"/>
  <c r="BD312" i="5"/>
  <c r="BD311" i="5"/>
  <c r="BD278" i="5"/>
  <c r="BD247" i="5"/>
  <c r="BD242" i="5"/>
  <c r="BD241" i="5"/>
  <c r="BD216" i="5"/>
  <c r="BD212" i="5"/>
  <c r="BD205" i="5"/>
  <c r="BD204" i="5"/>
  <c r="BD180" i="5"/>
  <c r="BD179" i="5"/>
  <c r="BE167" i="5"/>
  <c r="BD156" i="5"/>
  <c r="BD155" i="5"/>
  <c r="BE148" i="5"/>
  <c r="BD148" i="5"/>
  <c r="BD147" i="5"/>
  <c r="BD146" i="5"/>
  <c r="BE137" i="5"/>
  <c r="BD137" i="5"/>
  <c r="BE136" i="5"/>
  <c r="BD136" i="5"/>
  <c r="BD132" i="5"/>
  <c r="BD131" i="5"/>
  <c r="BD118" i="5"/>
  <c r="BD103" i="5"/>
  <c r="BD97" i="5"/>
  <c r="BD96" i="5"/>
  <c r="BD84" i="5"/>
  <c r="BD43" i="5"/>
  <c r="BD37" i="5"/>
  <c r="BD31" i="5"/>
  <c r="BD23" i="5"/>
  <c r="BD8" i="5"/>
  <c r="BA188" i="5"/>
  <c r="BA203" i="5" s="1"/>
  <c r="BA117" i="5"/>
  <c r="BB108" i="5"/>
  <c r="BE108" i="5" s="1"/>
  <c r="BH108" i="5" s="1"/>
  <c r="BA24" i="5"/>
  <c r="BA25" i="5"/>
  <c r="BA168" i="5"/>
  <c r="BB164" i="5"/>
  <c r="BE164" i="5" s="1"/>
  <c r="BA70" i="5"/>
  <c r="BE67" i="5"/>
  <c r="BH67" i="5" s="1"/>
  <c r="BA347" i="5"/>
  <c r="BA336" i="5"/>
  <c r="BA331" i="5"/>
  <c r="BA324" i="5"/>
  <c r="BA320" i="5"/>
  <c r="BB313" i="5"/>
  <c r="BA313" i="5"/>
  <c r="BA312" i="5"/>
  <c r="BA311" i="5"/>
  <c r="BA278" i="5"/>
  <c r="BA247" i="5"/>
  <c r="BA242" i="5"/>
  <c r="BA241" i="5"/>
  <c r="BA240" i="5"/>
  <c r="BA216" i="5"/>
  <c r="BA212" i="5"/>
  <c r="BA205" i="5"/>
  <c r="BA204" i="5"/>
  <c r="BA180" i="5"/>
  <c r="BA179" i="5"/>
  <c r="BB167" i="5"/>
  <c r="BA167" i="5"/>
  <c r="BA156" i="5"/>
  <c r="BA155" i="5"/>
  <c r="BB148" i="5"/>
  <c r="BA148" i="5"/>
  <c r="BA147" i="5"/>
  <c r="BA146" i="5"/>
  <c r="BB137" i="5"/>
  <c r="BA137" i="5"/>
  <c r="BB136" i="5"/>
  <c r="BA136" i="5"/>
  <c r="BA132" i="5"/>
  <c r="BA131" i="5"/>
  <c r="BA118" i="5"/>
  <c r="BA103" i="5"/>
  <c r="BA97" i="5"/>
  <c r="BA96" i="5"/>
  <c r="BA84" i="5"/>
  <c r="BA43" i="5"/>
  <c r="BA37" i="5"/>
  <c r="BA31" i="5"/>
  <c r="BA23" i="5"/>
  <c r="BA8" i="5"/>
  <c r="BF35" i="4"/>
  <c r="N8" i="38" s="1"/>
  <c r="N23" i="37"/>
  <c r="N7" i="37"/>
  <c r="N6" i="37"/>
  <c r="N5" i="37"/>
  <c r="K23" i="37"/>
  <c r="H23" i="37"/>
  <c r="F23" i="37"/>
  <c r="D23" i="37"/>
  <c r="C23" i="37"/>
  <c r="I20" i="37"/>
  <c r="I23" i="37" s="1"/>
  <c r="K8" i="37"/>
  <c r="K7" i="37"/>
  <c r="K6" i="37"/>
  <c r="K5" i="37"/>
  <c r="AX347" i="5"/>
  <c r="AX336" i="5"/>
  <c r="AX331" i="5"/>
  <c r="AX324" i="5"/>
  <c r="AX320" i="5"/>
  <c r="AY313" i="5"/>
  <c r="AX313" i="5"/>
  <c r="AX312" i="5"/>
  <c r="AX311" i="5"/>
  <c r="AX278" i="5"/>
  <c r="AX247" i="5"/>
  <c r="AX242" i="5"/>
  <c r="AX241" i="5"/>
  <c r="AX240" i="5"/>
  <c r="AX216" i="5"/>
  <c r="AX212" i="5"/>
  <c r="AX205" i="5"/>
  <c r="AX204" i="5"/>
  <c r="AX203" i="5"/>
  <c r="AX180" i="5"/>
  <c r="AX179" i="5"/>
  <c r="AY168" i="5"/>
  <c r="AX168" i="5"/>
  <c r="AY167" i="5"/>
  <c r="AX167" i="5"/>
  <c r="AX156" i="5"/>
  <c r="AX155" i="5"/>
  <c r="AY148" i="5"/>
  <c r="AX148" i="5"/>
  <c r="AX147" i="5"/>
  <c r="AX146" i="5"/>
  <c r="AY137" i="5"/>
  <c r="AX137" i="5"/>
  <c r="AY136" i="5"/>
  <c r="AX136" i="5"/>
  <c r="AX132" i="5"/>
  <c r="AX131" i="5"/>
  <c r="AX118" i="5"/>
  <c r="AX117" i="5"/>
  <c r="AX103" i="5"/>
  <c r="AX97" i="5"/>
  <c r="AX96" i="5"/>
  <c r="AX84" i="5"/>
  <c r="AX70" i="5"/>
  <c r="AX43" i="5"/>
  <c r="AX37" i="5"/>
  <c r="AX31" i="5"/>
  <c r="AX23" i="5"/>
  <c r="AX8" i="5"/>
  <c r="AU31" i="5"/>
  <c r="AU37" i="5"/>
  <c r="AU43" i="5"/>
  <c r="AU70" i="5"/>
  <c r="AU84" i="5"/>
  <c r="AU97" i="5"/>
  <c r="AU96" i="5"/>
  <c r="AU103" i="5"/>
  <c r="AU118" i="5"/>
  <c r="AU117" i="5"/>
  <c r="AU132" i="5"/>
  <c r="AU131" i="5"/>
  <c r="AU137" i="5"/>
  <c r="AU136" i="5"/>
  <c r="AU148" i="5"/>
  <c r="AU147" i="5"/>
  <c r="AU146" i="5"/>
  <c r="AU156" i="5"/>
  <c r="AU155" i="5"/>
  <c r="AU168" i="5"/>
  <c r="AU167" i="5"/>
  <c r="AU180" i="5"/>
  <c r="AU179" i="5"/>
  <c r="AU205" i="5"/>
  <c r="AU204" i="5"/>
  <c r="AU203" i="5"/>
  <c r="AU212" i="5"/>
  <c r="AU216" i="5"/>
  <c r="AU242" i="5"/>
  <c r="AU241" i="5"/>
  <c r="AU240" i="5"/>
  <c r="AU247" i="5"/>
  <c r="AU278" i="5"/>
  <c r="AU313" i="5"/>
  <c r="AU312" i="5"/>
  <c r="AU311" i="5"/>
  <c r="AU320" i="5"/>
  <c r="AU324" i="5"/>
  <c r="AU331" i="5"/>
  <c r="AU336" i="5"/>
  <c r="AU347" i="5"/>
  <c r="AU23" i="5"/>
  <c r="AU8" i="5"/>
  <c r="AV215" i="5"/>
  <c r="AY215" i="5" s="1"/>
  <c r="AV313" i="5"/>
  <c r="AV168" i="5"/>
  <c r="AV167" i="5"/>
  <c r="AV148" i="5"/>
  <c r="AV137" i="5"/>
  <c r="AV136" i="5"/>
  <c r="K23" i="36"/>
  <c r="K8" i="36"/>
  <c r="K7" i="36"/>
  <c r="K6" i="36"/>
  <c r="K5" i="36"/>
  <c r="H23" i="36"/>
  <c r="F23" i="36"/>
  <c r="D23" i="36"/>
  <c r="C23" i="36"/>
  <c r="I20" i="36"/>
  <c r="I23" i="36" s="1"/>
  <c r="BD87" i="4"/>
  <c r="BG87" i="4" s="1"/>
  <c r="BJ87" i="4" s="1"/>
  <c r="BD81" i="4"/>
  <c r="BG81" i="4" s="1"/>
  <c r="BJ81" i="4" s="1"/>
  <c r="BD80" i="4"/>
  <c r="BG80" i="4" s="1"/>
  <c r="BJ80" i="4" s="1"/>
  <c r="BD79" i="4"/>
  <c r="BG79" i="4" s="1"/>
  <c r="BJ79" i="4" s="1"/>
  <c r="BD75" i="4"/>
  <c r="BG75" i="4" s="1"/>
  <c r="BJ75" i="4" s="1"/>
  <c r="BD74" i="4"/>
  <c r="BG74" i="4" s="1"/>
  <c r="BJ74" i="4" s="1"/>
  <c r="BD73" i="4"/>
  <c r="BG73" i="4" s="1"/>
  <c r="BJ73" i="4" s="1"/>
  <c r="BD72" i="4"/>
  <c r="BG72" i="4" s="1"/>
  <c r="BJ72" i="4" s="1"/>
  <c r="BD70" i="4"/>
  <c r="BG70" i="4" s="1"/>
  <c r="BJ70" i="4" s="1"/>
  <c r="BD69" i="4"/>
  <c r="BG69" i="4" s="1"/>
  <c r="BJ69" i="4" s="1"/>
  <c r="BD68" i="4"/>
  <c r="BG68" i="4" s="1"/>
  <c r="BJ68" i="4" s="1"/>
  <c r="BD66" i="4"/>
  <c r="BG66" i="4" s="1"/>
  <c r="BJ66" i="4" s="1"/>
  <c r="BM66" i="4" s="1"/>
  <c r="BD65" i="4"/>
  <c r="BG65" i="4" s="1"/>
  <c r="BJ65" i="4" s="1"/>
  <c r="BD43" i="4"/>
  <c r="BG43" i="4" s="1"/>
  <c r="BJ43" i="4" s="1"/>
  <c r="BD42" i="4"/>
  <c r="BG42" i="4" s="1"/>
  <c r="BJ42" i="4" s="1"/>
  <c r="BD39" i="4"/>
  <c r="BG39" i="4" s="1"/>
  <c r="BJ39" i="4" s="1"/>
  <c r="BD38" i="4"/>
  <c r="BG38" i="4" s="1"/>
  <c r="BJ38" i="4" s="1"/>
  <c r="BD36" i="4"/>
  <c r="BG36" i="4" s="1"/>
  <c r="BJ36" i="4" s="1"/>
  <c r="C25" i="45" l="1"/>
  <c r="C16" i="45"/>
  <c r="L23" i="38"/>
  <c r="O20" i="38"/>
  <c r="O23" i="38" s="1"/>
  <c r="L20" i="36"/>
  <c r="L23" i="36" s="1"/>
  <c r="I23" i="38"/>
  <c r="CV347" i="5"/>
  <c r="CY337" i="5"/>
  <c r="CY347" i="5" s="1"/>
  <c r="CY204" i="5"/>
  <c r="CY203" i="5"/>
  <c r="CS242" i="5"/>
  <c r="CV235" i="5"/>
  <c r="CV84" i="5"/>
  <c r="CY72" i="5"/>
  <c r="CY84" i="5" s="1"/>
  <c r="CS179" i="5"/>
  <c r="CV169" i="5"/>
  <c r="CY258" i="5"/>
  <c r="CY278" i="5" s="1"/>
  <c r="CV278" i="5"/>
  <c r="CE25" i="4"/>
  <c r="CB35" i="4"/>
  <c r="CB124" i="4" s="1"/>
  <c r="CB1" i="4" s="1"/>
  <c r="CP324" i="5"/>
  <c r="CS321" i="5"/>
  <c r="CP137" i="5"/>
  <c r="CS134" i="5"/>
  <c r="CP70" i="5"/>
  <c r="CS48" i="5"/>
  <c r="CP97" i="5"/>
  <c r="CS94" i="5"/>
  <c r="CP159" i="5"/>
  <c r="CS158" i="5"/>
  <c r="CP8" i="5"/>
  <c r="CS5" i="5"/>
  <c r="CM351" i="5"/>
  <c r="CP25" i="5"/>
  <c r="CS14" i="5"/>
  <c r="CP320" i="5"/>
  <c r="CS317" i="5"/>
  <c r="CP156" i="5"/>
  <c r="CS153" i="5"/>
  <c r="CP132" i="5"/>
  <c r="CS125" i="5"/>
  <c r="CP312" i="5"/>
  <c r="CS300" i="5"/>
  <c r="CP31" i="5"/>
  <c r="CS26" i="5"/>
  <c r="CP331" i="5"/>
  <c r="CS325" i="5"/>
  <c r="CP37" i="5"/>
  <c r="CS32" i="5"/>
  <c r="CP118" i="5"/>
  <c r="CS113" i="5"/>
  <c r="CM43" i="5"/>
  <c r="CP40" i="5"/>
  <c r="CM167" i="5"/>
  <c r="CP161" i="5"/>
  <c r="CM205" i="5"/>
  <c r="CP198" i="5"/>
  <c r="CM160" i="5"/>
  <c r="CP157" i="5"/>
  <c r="CM96" i="5"/>
  <c r="CP89" i="5"/>
  <c r="CM212" i="5"/>
  <c r="CP206" i="5"/>
  <c r="CM148" i="5"/>
  <c r="CP144" i="5"/>
  <c r="CM103" i="5"/>
  <c r="CP102" i="5"/>
  <c r="CM336" i="5"/>
  <c r="CP332" i="5"/>
  <c r="CM247" i="5"/>
  <c r="CP245" i="5"/>
  <c r="CM214" i="5"/>
  <c r="CP213" i="5"/>
  <c r="CM136" i="5"/>
  <c r="CP133" i="5"/>
  <c r="CJ131" i="5"/>
  <c r="CM121" i="5"/>
  <c r="CM25" i="5"/>
  <c r="CJ353" i="5"/>
  <c r="CJ117" i="5"/>
  <c r="CM111" i="5"/>
  <c r="CJ155" i="5"/>
  <c r="CM151" i="5"/>
  <c r="CG311" i="5"/>
  <c r="CG350" i="5" s="1"/>
  <c r="CG355" i="5" s="1"/>
  <c r="CJ282" i="5"/>
  <c r="CA355" i="5"/>
  <c r="CD1" i="5"/>
  <c r="CD355" i="5"/>
  <c r="BO108" i="5"/>
  <c r="BK108" i="5"/>
  <c r="BK67" i="5"/>
  <c r="BO67" i="5"/>
  <c r="BE168" i="5"/>
  <c r="BH164" i="5"/>
  <c r="AV216" i="5"/>
  <c r="K9" i="38"/>
  <c r="K9" i="37"/>
  <c r="BD351" i="5"/>
  <c r="Q13" i="38" s="1"/>
  <c r="AX351" i="5"/>
  <c r="N13" i="38" s="1"/>
  <c r="BB168" i="5"/>
  <c r="AY216" i="5"/>
  <c r="BB215" i="5"/>
  <c r="BA353" i="5"/>
  <c r="AU353" i="5"/>
  <c r="AX353" i="5"/>
  <c r="K9" i="36"/>
  <c r="BF124" i="4"/>
  <c r="BF1" i="4" s="1"/>
  <c r="N8" i="37"/>
  <c r="N9" i="37" s="1"/>
  <c r="N9" i="38"/>
  <c r="L20" i="37"/>
  <c r="BD350" i="5"/>
  <c r="BD353" i="5"/>
  <c r="Q14" i="38" s="1"/>
  <c r="BA351" i="5"/>
  <c r="BA350" i="5"/>
  <c r="AX350" i="5"/>
  <c r="AU351" i="5"/>
  <c r="AU350" i="5"/>
  <c r="AR23" i="5"/>
  <c r="AR24" i="5"/>
  <c r="AR351" i="5" s="1"/>
  <c r="AR25" i="5"/>
  <c r="AR353" i="5" s="1"/>
  <c r="AR8" i="5"/>
  <c r="AR331" i="5"/>
  <c r="AS343" i="5"/>
  <c r="AV343" i="5" s="1"/>
  <c r="AY343" i="5" s="1"/>
  <c r="BB343" i="5" s="1"/>
  <c r="BE343" i="5" s="1"/>
  <c r="BH343" i="5" s="1"/>
  <c r="AS342" i="5"/>
  <c r="AV342" i="5" s="1"/>
  <c r="AS337" i="5"/>
  <c r="AV337" i="5" s="1"/>
  <c r="AY337" i="5" s="1"/>
  <c r="AS332" i="5"/>
  <c r="AS321" i="5"/>
  <c r="AS317" i="5"/>
  <c r="AS313" i="5"/>
  <c r="AS309" i="5"/>
  <c r="AV309" i="5" s="1"/>
  <c r="AY309" i="5" s="1"/>
  <c r="BB309" i="5" s="1"/>
  <c r="BE309" i="5" s="1"/>
  <c r="BH309" i="5" s="1"/>
  <c r="BK309" i="5" s="1"/>
  <c r="AS307" i="5"/>
  <c r="AV307" i="5" s="1"/>
  <c r="AY307" i="5" s="1"/>
  <c r="BB307" i="5" s="1"/>
  <c r="BE307" i="5" s="1"/>
  <c r="BH307" i="5" s="1"/>
  <c r="AS306" i="5"/>
  <c r="AV306" i="5" s="1"/>
  <c r="AY306" i="5" s="1"/>
  <c r="BB306" i="5" s="1"/>
  <c r="BE306" i="5" s="1"/>
  <c r="BH306" i="5" s="1"/>
  <c r="AS305" i="5"/>
  <c r="AV305" i="5" s="1"/>
  <c r="AY305" i="5" s="1"/>
  <c r="BB305" i="5" s="1"/>
  <c r="BE305" i="5" s="1"/>
  <c r="BH305" i="5" s="1"/>
  <c r="AS304" i="5"/>
  <c r="AV304" i="5" s="1"/>
  <c r="AY304" i="5" s="1"/>
  <c r="BB304" i="5" s="1"/>
  <c r="BE304" i="5" s="1"/>
  <c r="BH304" i="5" s="1"/>
  <c r="AS303" i="5"/>
  <c r="AV303" i="5" s="1"/>
  <c r="AY303" i="5" s="1"/>
  <c r="BB303" i="5" s="1"/>
  <c r="BE303" i="5" s="1"/>
  <c r="BH303" i="5" s="1"/>
  <c r="AS302" i="5"/>
  <c r="AV302" i="5" s="1"/>
  <c r="AY302" i="5" s="1"/>
  <c r="BB302" i="5" s="1"/>
  <c r="BE302" i="5" s="1"/>
  <c r="BH302" i="5" s="1"/>
  <c r="AS301" i="5"/>
  <c r="AV301" i="5" s="1"/>
  <c r="AY301" i="5" s="1"/>
  <c r="BB301" i="5" s="1"/>
  <c r="BE301" i="5" s="1"/>
  <c r="BH301" i="5" s="1"/>
  <c r="AS300" i="5"/>
  <c r="AS299" i="5"/>
  <c r="AV299" i="5" s="1"/>
  <c r="AY299" i="5" s="1"/>
  <c r="BB299" i="5" s="1"/>
  <c r="BE299" i="5" s="1"/>
  <c r="BH299" i="5" s="1"/>
  <c r="AS298" i="5"/>
  <c r="AV298" i="5" s="1"/>
  <c r="AY298" i="5" s="1"/>
  <c r="BB298" i="5" s="1"/>
  <c r="BE298" i="5" s="1"/>
  <c r="BH298" i="5" s="1"/>
  <c r="AS297" i="5"/>
  <c r="AV297" i="5" s="1"/>
  <c r="AY297" i="5" s="1"/>
  <c r="BB297" i="5" s="1"/>
  <c r="BE297" i="5" s="1"/>
  <c r="BH297" i="5" s="1"/>
  <c r="AS296" i="5"/>
  <c r="AV296" i="5" s="1"/>
  <c r="AY296" i="5" s="1"/>
  <c r="BB296" i="5" s="1"/>
  <c r="BE296" i="5" s="1"/>
  <c r="BH296" i="5" s="1"/>
  <c r="AS295" i="5"/>
  <c r="AV295" i="5" s="1"/>
  <c r="AY295" i="5" s="1"/>
  <c r="BB295" i="5" s="1"/>
  <c r="BE295" i="5" s="1"/>
  <c r="BH295" i="5" s="1"/>
  <c r="AS294" i="5"/>
  <c r="AV294" i="5" s="1"/>
  <c r="AY294" i="5" s="1"/>
  <c r="BB294" i="5" s="1"/>
  <c r="BE294" i="5" s="1"/>
  <c r="BH294" i="5" s="1"/>
  <c r="AS293" i="5"/>
  <c r="AV293" i="5" s="1"/>
  <c r="AY293" i="5" s="1"/>
  <c r="BB293" i="5" s="1"/>
  <c r="BE293" i="5" s="1"/>
  <c r="BH293" i="5" s="1"/>
  <c r="AS292" i="5"/>
  <c r="AV292" i="5" s="1"/>
  <c r="AY292" i="5" s="1"/>
  <c r="BB292" i="5" s="1"/>
  <c r="BE292" i="5" s="1"/>
  <c r="BH292" i="5" s="1"/>
  <c r="AS291" i="5"/>
  <c r="AV291" i="5" s="1"/>
  <c r="AY291" i="5" s="1"/>
  <c r="BB291" i="5" s="1"/>
  <c r="BE291" i="5" s="1"/>
  <c r="BH291" i="5" s="1"/>
  <c r="AS289" i="5"/>
  <c r="AV289" i="5" s="1"/>
  <c r="AY289" i="5" s="1"/>
  <c r="BB289" i="5" s="1"/>
  <c r="BE289" i="5" s="1"/>
  <c r="BH289" i="5" s="1"/>
  <c r="AS288" i="5"/>
  <c r="AV288" i="5" s="1"/>
  <c r="AY288" i="5" s="1"/>
  <c r="BB288" i="5" s="1"/>
  <c r="BE288" i="5" s="1"/>
  <c r="BH288" i="5" s="1"/>
  <c r="AS287" i="5"/>
  <c r="AV287" i="5" s="1"/>
  <c r="AY287" i="5" s="1"/>
  <c r="BB287" i="5" s="1"/>
  <c r="BE287" i="5" s="1"/>
  <c r="BH287" i="5" s="1"/>
  <c r="BO287" i="5" s="1"/>
  <c r="AS286" i="5"/>
  <c r="AV286" i="5" s="1"/>
  <c r="AY286" i="5" s="1"/>
  <c r="BB286" i="5" s="1"/>
  <c r="BE286" i="5" s="1"/>
  <c r="BH286" i="5" s="1"/>
  <c r="AS285" i="5"/>
  <c r="AV285" i="5" s="1"/>
  <c r="AY285" i="5" s="1"/>
  <c r="BB285" i="5" s="1"/>
  <c r="BE285" i="5" s="1"/>
  <c r="BH285" i="5" s="1"/>
  <c r="AS284" i="5"/>
  <c r="AV284" i="5" s="1"/>
  <c r="AY284" i="5" s="1"/>
  <c r="BB284" i="5" s="1"/>
  <c r="BE284" i="5" s="1"/>
  <c r="BH284" i="5" s="1"/>
  <c r="AS283" i="5"/>
  <c r="AV283" i="5" s="1"/>
  <c r="AY283" i="5" s="1"/>
  <c r="BB283" i="5" s="1"/>
  <c r="BE283" i="5" s="1"/>
  <c r="BH283" i="5" s="1"/>
  <c r="AS282" i="5"/>
  <c r="AV282" i="5" s="1"/>
  <c r="AY282" i="5" s="1"/>
  <c r="BB282" i="5" s="1"/>
  <c r="BE282" i="5" s="1"/>
  <c r="BH282" i="5" s="1"/>
  <c r="AS281" i="5"/>
  <c r="AV281" i="5" s="1"/>
  <c r="AY281" i="5" s="1"/>
  <c r="BB281" i="5" s="1"/>
  <c r="BE281" i="5" s="1"/>
  <c r="BH281" i="5" s="1"/>
  <c r="AS280" i="5"/>
  <c r="AV280" i="5" s="1"/>
  <c r="AY280" i="5" s="1"/>
  <c r="AS279" i="5"/>
  <c r="AV279" i="5" s="1"/>
  <c r="AY279" i="5" s="1"/>
  <c r="BB279" i="5" s="1"/>
  <c r="BE279" i="5" s="1"/>
  <c r="BH279" i="5" s="1"/>
  <c r="AS255" i="5"/>
  <c r="AV255" i="5" s="1"/>
  <c r="AY255" i="5" s="1"/>
  <c r="BB255" i="5" s="1"/>
  <c r="BE255" i="5" s="1"/>
  <c r="BH255" i="5" s="1"/>
  <c r="BK255" i="5" s="1"/>
  <c r="AS254" i="5"/>
  <c r="AV254" i="5" s="1"/>
  <c r="AY254" i="5" s="1"/>
  <c r="BB254" i="5" s="1"/>
  <c r="BE254" i="5" s="1"/>
  <c r="BH254" i="5" s="1"/>
  <c r="BK254" i="5" s="1"/>
  <c r="AS252" i="5"/>
  <c r="AV252" i="5" s="1"/>
  <c r="AY252" i="5" s="1"/>
  <c r="BB252" i="5" s="1"/>
  <c r="BE252" i="5" s="1"/>
  <c r="BH252" i="5" s="1"/>
  <c r="BK252" i="5" s="1"/>
  <c r="AS251" i="5"/>
  <c r="AV251" i="5" s="1"/>
  <c r="AY251" i="5" s="1"/>
  <c r="BB251" i="5" s="1"/>
  <c r="BE251" i="5" s="1"/>
  <c r="BH251" i="5" s="1"/>
  <c r="BK251" i="5" s="1"/>
  <c r="AS250" i="5"/>
  <c r="AV250" i="5" s="1"/>
  <c r="AY250" i="5" s="1"/>
  <c r="BB250" i="5" s="1"/>
  <c r="BE250" i="5" s="1"/>
  <c r="BH250" i="5" s="1"/>
  <c r="BK250" i="5" s="1"/>
  <c r="AS249" i="5"/>
  <c r="AV249" i="5" s="1"/>
  <c r="AY249" i="5" s="1"/>
  <c r="BB249" i="5" s="1"/>
  <c r="BE249" i="5" s="1"/>
  <c r="BH249" i="5" s="1"/>
  <c r="BK249" i="5" s="1"/>
  <c r="AS248" i="5"/>
  <c r="AV248" i="5" s="1"/>
  <c r="AY248" i="5" s="1"/>
  <c r="AS245" i="5"/>
  <c r="AV245" i="5" s="1"/>
  <c r="AY245" i="5" s="1"/>
  <c r="BB245" i="5" s="1"/>
  <c r="BE245" i="5" s="1"/>
  <c r="BH245" i="5" s="1"/>
  <c r="AS244" i="5"/>
  <c r="AS243" i="5"/>
  <c r="AV243" i="5" s="1"/>
  <c r="AY243" i="5" s="1"/>
  <c r="AS237" i="5"/>
  <c r="AV237" i="5" s="1"/>
  <c r="AY237" i="5" s="1"/>
  <c r="BB237" i="5" s="1"/>
  <c r="BE237" i="5" s="1"/>
  <c r="BH237" i="5" s="1"/>
  <c r="BO237" i="5" s="1"/>
  <c r="AS235" i="5"/>
  <c r="AV235" i="5" s="1"/>
  <c r="AS233" i="5"/>
  <c r="AV233" i="5" s="1"/>
  <c r="AY233" i="5" s="1"/>
  <c r="BB233" i="5" s="1"/>
  <c r="BE233" i="5" s="1"/>
  <c r="BH233" i="5" s="1"/>
  <c r="BO233" i="5" s="1"/>
  <c r="AS232" i="5"/>
  <c r="AV232" i="5" s="1"/>
  <c r="AY232" i="5" s="1"/>
  <c r="BB232" i="5" s="1"/>
  <c r="BE232" i="5" s="1"/>
  <c r="BH232" i="5" s="1"/>
  <c r="BO232" i="5" s="1"/>
  <c r="AS230" i="5"/>
  <c r="AV230" i="5" s="1"/>
  <c r="AY230" i="5" s="1"/>
  <c r="BB230" i="5" s="1"/>
  <c r="BE230" i="5" s="1"/>
  <c r="BH230" i="5" s="1"/>
  <c r="AS229" i="5"/>
  <c r="AV229" i="5" s="1"/>
  <c r="AY229" i="5" s="1"/>
  <c r="BB229" i="5" s="1"/>
  <c r="BE229" i="5" s="1"/>
  <c r="BH229" i="5" s="1"/>
  <c r="AS228" i="5"/>
  <c r="AS227" i="5"/>
  <c r="AV227" i="5" s="1"/>
  <c r="AY227" i="5" s="1"/>
  <c r="BB227" i="5" s="1"/>
  <c r="BE227" i="5" s="1"/>
  <c r="BH227" i="5" s="1"/>
  <c r="AS226" i="5"/>
  <c r="AV226" i="5" s="1"/>
  <c r="AY226" i="5" s="1"/>
  <c r="BB226" i="5" s="1"/>
  <c r="BE226" i="5" s="1"/>
  <c r="BH226" i="5" s="1"/>
  <c r="AS225" i="5"/>
  <c r="AV225" i="5" s="1"/>
  <c r="AY225" i="5" s="1"/>
  <c r="BB225" i="5" s="1"/>
  <c r="BE225" i="5" s="1"/>
  <c r="BH225" i="5" s="1"/>
  <c r="AS224" i="5"/>
  <c r="AV224" i="5" s="1"/>
  <c r="AY224" i="5" s="1"/>
  <c r="BB224" i="5" s="1"/>
  <c r="BE224" i="5" s="1"/>
  <c r="BH224" i="5" s="1"/>
  <c r="AS223" i="5"/>
  <c r="AV223" i="5" s="1"/>
  <c r="AY223" i="5" s="1"/>
  <c r="BB223" i="5" s="1"/>
  <c r="BE223" i="5" s="1"/>
  <c r="BH223" i="5" s="1"/>
  <c r="AS222" i="5"/>
  <c r="AV222" i="5" s="1"/>
  <c r="AY222" i="5" s="1"/>
  <c r="BB222" i="5" s="1"/>
  <c r="BE222" i="5" s="1"/>
  <c r="BH222" i="5" s="1"/>
  <c r="AS221" i="5"/>
  <c r="AV221" i="5" s="1"/>
  <c r="AY221" i="5" s="1"/>
  <c r="BB221" i="5" s="1"/>
  <c r="BE221" i="5" s="1"/>
  <c r="BH221" i="5" s="1"/>
  <c r="AS220" i="5"/>
  <c r="AV220" i="5" s="1"/>
  <c r="AY220" i="5" s="1"/>
  <c r="AS218" i="5"/>
  <c r="AV218" i="5" s="1"/>
  <c r="AY218" i="5" s="1"/>
  <c r="BB218" i="5" s="1"/>
  <c r="BE218" i="5" s="1"/>
  <c r="BH218" i="5" s="1"/>
  <c r="AS217" i="5"/>
  <c r="AV217" i="5" s="1"/>
  <c r="AY217" i="5" s="1"/>
  <c r="BB217" i="5" s="1"/>
  <c r="BE217" i="5" s="1"/>
  <c r="BH217" i="5" s="1"/>
  <c r="AS208" i="5"/>
  <c r="AV208" i="5" s="1"/>
  <c r="AY208" i="5" s="1"/>
  <c r="BB208" i="5" s="1"/>
  <c r="BE208" i="5" s="1"/>
  <c r="BH208" i="5" s="1"/>
  <c r="AS207" i="5"/>
  <c r="AV207" i="5" s="1"/>
  <c r="AY207" i="5" s="1"/>
  <c r="BB207" i="5" s="1"/>
  <c r="BE207" i="5" s="1"/>
  <c r="BH207" i="5" s="1"/>
  <c r="AS206" i="5"/>
  <c r="AV206" i="5" s="1"/>
  <c r="AY206" i="5" s="1"/>
  <c r="AS194" i="5"/>
  <c r="AS195" i="5"/>
  <c r="AV195" i="5" s="1"/>
  <c r="AY195" i="5" s="1"/>
  <c r="BB195" i="5" s="1"/>
  <c r="BE195" i="5" s="1"/>
  <c r="BH195" i="5" s="1"/>
  <c r="AS197" i="5"/>
  <c r="AV197" i="5" s="1"/>
  <c r="AY197" i="5" s="1"/>
  <c r="BB197" i="5" s="1"/>
  <c r="BE197" i="5" s="1"/>
  <c r="BH197" i="5" s="1"/>
  <c r="AS76" i="5"/>
  <c r="AV76" i="5" s="1"/>
  <c r="AY76" i="5" s="1"/>
  <c r="BB76" i="5" s="1"/>
  <c r="BE76" i="5" s="1"/>
  <c r="BH76" i="5" s="1"/>
  <c r="AS75" i="5"/>
  <c r="AV75" i="5" s="1"/>
  <c r="AY75" i="5" s="1"/>
  <c r="BB75" i="5" s="1"/>
  <c r="BE75" i="5" s="1"/>
  <c r="BH75" i="5" s="1"/>
  <c r="AS182" i="5"/>
  <c r="AV182" i="5" s="1"/>
  <c r="AY182" i="5" s="1"/>
  <c r="BB182" i="5" s="1"/>
  <c r="BE182" i="5" s="1"/>
  <c r="BH182" i="5" s="1"/>
  <c r="AS183" i="5"/>
  <c r="AV183" i="5" s="1"/>
  <c r="AY183" i="5" s="1"/>
  <c r="BB183" i="5" s="1"/>
  <c r="BE183" i="5" s="1"/>
  <c r="BH183" i="5" s="1"/>
  <c r="AS184" i="5"/>
  <c r="AV184" i="5" s="1"/>
  <c r="AY184" i="5" s="1"/>
  <c r="BB184" i="5" s="1"/>
  <c r="BE184" i="5" s="1"/>
  <c r="BH184" i="5" s="1"/>
  <c r="AS185" i="5"/>
  <c r="AV185" i="5" s="1"/>
  <c r="AY185" i="5" s="1"/>
  <c r="BB185" i="5" s="1"/>
  <c r="BE185" i="5" s="1"/>
  <c r="BH185" i="5" s="1"/>
  <c r="AS186" i="5"/>
  <c r="AV186" i="5" s="1"/>
  <c r="AY186" i="5" s="1"/>
  <c r="BB186" i="5" s="1"/>
  <c r="BE186" i="5" s="1"/>
  <c r="BH186" i="5" s="1"/>
  <c r="AS187" i="5"/>
  <c r="AV187" i="5" s="1"/>
  <c r="AY187" i="5" s="1"/>
  <c r="BB187" i="5" s="1"/>
  <c r="BE187" i="5" s="1"/>
  <c r="BH187" i="5" s="1"/>
  <c r="AS188" i="5"/>
  <c r="AV188" i="5" s="1"/>
  <c r="AY188" i="5" s="1"/>
  <c r="BB188" i="5" s="1"/>
  <c r="AS189" i="5"/>
  <c r="AV189" i="5" s="1"/>
  <c r="AY189" i="5" s="1"/>
  <c r="BB189" i="5" s="1"/>
  <c r="BE189" i="5" s="1"/>
  <c r="BH189" i="5" s="1"/>
  <c r="AS191" i="5"/>
  <c r="AV191" i="5" s="1"/>
  <c r="AY191" i="5" s="1"/>
  <c r="BB191" i="5" s="1"/>
  <c r="BE191" i="5" s="1"/>
  <c r="BH191" i="5" s="1"/>
  <c r="AS192" i="5"/>
  <c r="AV192" i="5" s="1"/>
  <c r="AY192" i="5" s="1"/>
  <c r="BB192" i="5" s="1"/>
  <c r="BE192" i="5" s="1"/>
  <c r="BH192" i="5" s="1"/>
  <c r="AS181" i="5"/>
  <c r="AV181" i="5" s="1"/>
  <c r="AY181" i="5" s="1"/>
  <c r="AS175" i="5"/>
  <c r="AV175" i="5" s="1"/>
  <c r="AS172" i="5"/>
  <c r="AV172" i="5" s="1"/>
  <c r="AY172" i="5" s="1"/>
  <c r="BB172" i="5" s="1"/>
  <c r="BE172" i="5" s="1"/>
  <c r="BH172" i="5" s="1"/>
  <c r="AS169" i="5"/>
  <c r="AV169" i="5" s="1"/>
  <c r="AY169" i="5" s="1"/>
  <c r="AS167" i="5"/>
  <c r="AS162" i="5"/>
  <c r="AS168" i="5" s="1"/>
  <c r="AS153" i="5"/>
  <c r="AS151" i="5"/>
  <c r="AV151" i="5" s="1"/>
  <c r="AY151" i="5" s="1"/>
  <c r="BB151" i="5" s="1"/>
  <c r="BE151" i="5" s="1"/>
  <c r="BH151" i="5" s="1"/>
  <c r="AS149" i="5"/>
  <c r="AV149" i="5" s="1"/>
  <c r="AY149" i="5" s="1"/>
  <c r="AS144" i="5"/>
  <c r="AS148" i="5" s="1"/>
  <c r="AS140" i="5"/>
  <c r="AV140" i="5" s="1"/>
  <c r="AY140" i="5" s="1"/>
  <c r="BB140" i="5" s="1"/>
  <c r="BE140" i="5" s="1"/>
  <c r="BH140" i="5" s="1"/>
  <c r="AS138" i="5"/>
  <c r="AV138" i="5" s="1"/>
  <c r="AY138" i="5" s="1"/>
  <c r="BB138" i="5" s="1"/>
  <c r="AS137" i="5"/>
  <c r="AS136" i="5"/>
  <c r="AK136" i="5"/>
  <c r="AK137" i="5"/>
  <c r="AS135" i="5"/>
  <c r="AS128" i="5"/>
  <c r="AV128" i="5" s="1"/>
  <c r="AY128" i="5" s="1"/>
  <c r="BB128" i="5" s="1"/>
  <c r="BE128" i="5" s="1"/>
  <c r="BH128" i="5" s="1"/>
  <c r="AS127" i="5"/>
  <c r="AV127" i="5" s="1"/>
  <c r="AY127" i="5" s="1"/>
  <c r="BB127" i="5" s="1"/>
  <c r="BE127" i="5" s="1"/>
  <c r="BH127" i="5" s="1"/>
  <c r="BO127" i="5" s="1"/>
  <c r="AS126" i="5"/>
  <c r="AV126" i="5" s="1"/>
  <c r="AY126" i="5" s="1"/>
  <c r="BB126" i="5" s="1"/>
  <c r="BE126" i="5" s="1"/>
  <c r="BH126" i="5" s="1"/>
  <c r="BO126" i="5" s="1"/>
  <c r="AS125" i="5"/>
  <c r="AS124" i="5"/>
  <c r="AV124" i="5" s="1"/>
  <c r="AY124" i="5" s="1"/>
  <c r="BB124" i="5" s="1"/>
  <c r="BE124" i="5" s="1"/>
  <c r="BH124" i="5" s="1"/>
  <c r="BO124" i="5" s="1"/>
  <c r="AS123" i="5"/>
  <c r="AV123" i="5" s="1"/>
  <c r="AY123" i="5" s="1"/>
  <c r="BB123" i="5" s="1"/>
  <c r="BE123" i="5" s="1"/>
  <c r="BH123" i="5" s="1"/>
  <c r="AS122" i="5"/>
  <c r="AV122" i="5" s="1"/>
  <c r="AY122" i="5" s="1"/>
  <c r="BB122" i="5" s="1"/>
  <c r="BE122" i="5" s="1"/>
  <c r="BH122" i="5" s="1"/>
  <c r="AS121" i="5"/>
  <c r="AV121" i="5" s="1"/>
  <c r="AY121" i="5" s="1"/>
  <c r="AS120" i="5"/>
  <c r="AV120" i="5" s="1"/>
  <c r="AY120" i="5" s="1"/>
  <c r="BB120" i="5" s="1"/>
  <c r="BE120" i="5" s="1"/>
  <c r="BH120" i="5" s="1"/>
  <c r="AS113" i="5"/>
  <c r="AS111" i="5"/>
  <c r="AV111" i="5" s="1"/>
  <c r="AY111" i="5" s="1"/>
  <c r="BB111" i="5" s="1"/>
  <c r="BE111" i="5" s="1"/>
  <c r="BH111" i="5" s="1"/>
  <c r="AS110" i="5"/>
  <c r="AV110" i="5" s="1"/>
  <c r="AY110" i="5" s="1"/>
  <c r="AS109" i="5"/>
  <c r="AV109" i="5" s="1"/>
  <c r="AY109" i="5" s="1"/>
  <c r="BB109" i="5" s="1"/>
  <c r="BE109" i="5" s="1"/>
  <c r="BH109" i="5" s="1"/>
  <c r="AS102" i="5"/>
  <c r="AS87" i="5"/>
  <c r="AV87" i="5" s="1"/>
  <c r="AY87" i="5" s="1"/>
  <c r="AS88" i="5"/>
  <c r="AV88" i="5" s="1"/>
  <c r="AY88" i="5" s="1"/>
  <c r="BB88" i="5" s="1"/>
  <c r="BE88" i="5" s="1"/>
  <c r="BH88" i="5" s="1"/>
  <c r="AS89" i="5"/>
  <c r="AV89" i="5" s="1"/>
  <c r="AY89" i="5" s="1"/>
  <c r="BB89" i="5" s="1"/>
  <c r="BE89" i="5" s="1"/>
  <c r="BH89" i="5" s="1"/>
  <c r="AS90" i="5"/>
  <c r="AV90" i="5" s="1"/>
  <c r="AY90" i="5" s="1"/>
  <c r="BB90" i="5" s="1"/>
  <c r="BE90" i="5" s="1"/>
  <c r="BH90" i="5" s="1"/>
  <c r="AS91" i="5"/>
  <c r="AV91" i="5" s="1"/>
  <c r="AY91" i="5" s="1"/>
  <c r="BB91" i="5" s="1"/>
  <c r="BE91" i="5" s="1"/>
  <c r="BH91" i="5" s="1"/>
  <c r="AS92" i="5"/>
  <c r="AV92" i="5" s="1"/>
  <c r="AY92" i="5" s="1"/>
  <c r="BB92" i="5" s="1"/>
  <c r="BE92" i="5" s="1"/>
  <c r="BH92" i="5" s="1"/>
  <c r="AS93" i="5"/>
  <c r="AV93" i="5" s="1"/>
  <c r="AY93" i="5" s="1"/>
  <c r="BB93" i="5" s="1"/>
  <c r="BE93" i="5" s="1"/>
  <c r="BH93" i="5" s="1"/>
  <c r="AS94" i="5"/>
  <c r="AS86" i="5"/>
  <c r="AV86" i="5" s="1"/>
  <c r="AY86" i="5" s="1"/>
  <c r="BB86" i="5" s="1"/>
  <c r="BE86" i="5" s="1"/>
  <c r="BH86" i="5" s="1"/>
  <c r="AS80" i="5"/>
  <c r="AV80" i="5" s="1"/>
  <c r="AY80" i="5" s="1"/>
  <c r="BB80" i="5" s="1"/>
  <c r="BE80" i="5" s="1"/>
  <c r="BH80" i="5" s="1"/>
  <c r="AS78" i="5"/>
  <c r="AV78" i="5" s="1"/>
  <c r="AY78" i="5" s="1"/>
  <c r="BB78" i="5" s="1"/>
  <c r="BE78" i="5" s="1"/>
  <c r="BH78" i="5" s="1"/>
  <c r="AS77" i="5"/>
  <c r="AV77" i="5" s="1"/>
  <c r="AY77" i="5" s="1"/>
  <c r="BE77" i="5" s="1"/>
  <c r="BH77" i="5" s="1"/>
  <c r="AS72" i="5"/>
  <c r="AV72" i="5" s="1"/>
  <c r="AY72" i="5" s="1"/>
  <c r="AS48" i="5"/>
  <c r="AS40" i="5"/>
  <c r="AS32" i="5"/>
  <c r="AS26" i="5"/>
  <c r="AS14" i="5"/>
  <c r="AV14" i="5" s="1"/>
  <c r="AY14" i="5" s="1"/>
  <c r="AS12" i="5"/>
  <c r="AV12" i="5" s="1"/>
  <c r="AY12" i="5" s="1"/>
  <c r="BB12" i="5" s="1"/>
  <c r="BE12" i="5" s="1"/>
  <c r="BH12" i="5" s="1"/>
  <c r="AS5" i="5"/>
  <c r="AS325" i="5"/>
  <c r="AZ126" i="4"/>
  <c r="AZ122" i="4"/>
  <c r="AZ99" i="4"/>
  <c r="AZ35" i="4"/>
  <c r="AZ22" i="4"/>
  <c r="BA105" i="4"/>
  <c r="BD105" i="4" s="1"/>
  <c r="BA97" i="4"/>
  <c r="BD97" i="4" s="1"/>
  <c r="BG97" i="4" s="1"/>
  <c r="BJ97" i="4" s="1"/>
  <c r="BM97" i="4" s="1"/>
  <c r="BA94" i="4"/>
  <c r="BD94" i="4" s="1"/>
  <c r="BG94" i="4" s="1"/>
  <c r="BJ94" i="4" s="1"/>
  <c r="BM94" i="4" s="1"/>
  <c r="BA93" i="4"/>
  <c r="BD93" i="4" s="1"/>
  <c r="BG93" i="4" s="1"/>
  <c r="BJ93" i="4" s="1"/>
  <c r="BM93" i="4" s="1"/>
  <c r="BA92" i="4"/>
  <c r="BD92" i="4" s="1"/>
  <c r="BG92" i="4" s="1"/>
  <c r="BJ92" i="4" s="1"/>
  <c r="BM92" i="4" s="1"/>
  <c r="BA90" i="4"/>
  <c r="BD90" i="4" s="1"/>
  <c r="BG90" i="4" s="1"/>
  <c r="BJ90" i="4" s="1"/>
  <c r="BM90" i="4" s="1"/>
  <c r="BA89" i="4"/>
  <c r="BD89" i="4" s="1"/>
  <c r="BG89" i="4" s="1"/>
  <c r="BJ89" i="4" s="1"/>
  <c r="BM89" i="4" s="1"/>
  <c r="BA88" i="4"/>
  <c r="BD88" i="4" s="1"/>
  <c r="BG88" i="4" s="1"/>
  <c r="BJ88" i="4" s="1"/>
  <c r="BM88" i="4" s="1"/>
  <c r="BA86" i="4"/>
  <c r="BD86" i="4" s="1"/>
  <c r="BA84" i="4"/>
  <c r="BD84" i="4" s="1"/>
  <c r="BG84" i="4" s="1"/>
  <c r="BJ84" i="4" s="1"/>
  <c r="BA71" i="4"/>
  <c r="BD71" i="4" s="1"/>
  <c r="BG71" i="4" s="1"/>
  <c r="BJ71" i="4" s="1"/>
  <c r="BM71" i="4" s="1"/>
  <c r="BA40" i="4"/>
  <c r="BD40" i="4" s="1"/>
  <c r="BG40" i="4" s="1"/>
  <c r="BJ40" i="4" s="1"/>
  <c r="BM40" i="4" s="1"/>
  <c r="BA37" i="4"/>
  <c r="BD37" i="4" s="1"/>
  <c r="BG37" i="4" s="1"/>
  <c r="BJ37" i="4" s="1"/>
  <c r="BM37" i="4" s="1"/>
  <c r="BA25" i="4"/>
  <c r="BD25" i="4" s="1"/>
  <c r="BG25" i="4" s="1"/>
  <c r="BJ25" i="4" s="1"/>
  <c r="BM25" i="4" s="1"/>
  <c r="BA27" i="4"/>
  <c r="BD27" i="4" s="1"/>
  <c r="BG27" i="4" s="1"/>
  <c r="BA28" i="4"/>
  <c r="BD28" i="4" s="1"/>
  <c r="BG28" i="4" s="1"/>
  <c r="BJ28" i="4" s="1"/>
  <c r="BM28" i="4" s="1"/>
  <c r="BA29" i="4"/>
  <c r="BD29" i="4" s="1"/>
  <c r="BG29" i="4" s="1"/>
  <c r="BA30" i="4"/>
  <c r="BD30" i="4" s="1"/>
  <c r="BG30" i="4" s="1"/>
  <c r="BJ30" i="4" s="1"/>
  <c r="BA24" i="4"/>
  <c r="BD24" i="4" s="1"/>
  <c r="BG24" i="4" s="1"/>
  <c r="BA6" i="4"/>
  <c r="BD6" i="4" s="1"/>
  <c r="BG6" i="4" s="1"/>
  <c r="BJ6" i="4" s="1"/>
  <c r="BM6" i="4" s="1"/>
  <c r="BA7" i="4"/>
  <c r="BD7" i="4" s="1"/>
  <c r="BG7" i="4" s="1"/>
  <c r="BJ7" i="4" s="1"/>
  <c r="BM7" i="4" s="1"/>
  <c r="BA8" i="4"/>
  <c r="BD8" i="4" s="1"/>
  <c r="BG8" i="4" s="1"/>
  <c r="BJ8" i="4" s="1"/>
  <c r="BM8" i="4" s="1"/>
  <c r="BA9" i="4"/>
  <c r="BD9" i="4" s="1"/>
  <c r="BG9" i="4" s="1"/>
  <c r="BJ9" i="4" s="1"/>
  <c r="BA10" i="4"/>
  <c r="BD10" i="4" s="1"/>
  <c r="BG10" i="4" s="1"/>
  <c r="BJ10" i="4" s="1"/>
  <c r="BM10" i="4" s="1"/>
  <c r="BA11" i="4"/>
  <c r="BD11" i="4" s="1"/>
  <c r="BG11" i="4" s="1"/>
  <c r="BJ11" i="4" s="1"/>
  <c r="BM11" i="4" s="1"/>
  <c r="BA12" i="4"/>
  <c r="BD12" i="4" s="1"/>
  <c r="BG12" i="4" s="1"/>
  <c r="BJ12" i="4" s="1"/>
  <c r="BM12" i="4" s="1"/>
  <c r="BA13" i="4"/>
  <c r="BD13" i="4" s="1"/>
  <c r="BG13" i="4" s="1"/>
  <c r="BJ13" i="4" s="1"/>
  <c r="BM13" i="4" s="1"/>
  <c r="BA15" i="4"/>
  <c r="BD15" i="4" s="1"/>
  <c r="BG15" i="4" s="1"/>
  <c r="BJ15" i="4" s="1"/>
  <c r="BM15" i="4" s="1"/>
  <c r="BA16" i="4"/>
  <c r="BD16" i="4" s="1"/>
  <c r="BG16" i="4" s="1"/>
  <c r="BJ16" i="4" s="1"/>
  <c r="BM16" i="4" s="1"/>
  <c r="BA18" i="4"/>
  <c r="BD18" i="4" s="1"/>
  <c r="BG18" i="4" s="1"/>
  <c r="BJ18" i="4" s="1"/>
  <c r="BA21" i="4"/>
  <c r="BD21" i="4" s="1"/>
  <c r="BG21" i="4" s="1"/>
  <c r="BJ21" i="4" s="1"/>
  <c r="BM21" i="4" s="1"/>
  <c r="AK193" i="5"/>
  <c r="AS193" i="5" s="1"/>
  <c r="AV193" i="5" s="1"/>
  <c r="AY193" i="5" s="1"/>
  <c r="BB193" i="5" s="1"/>
  <c r="BE193" i="5" s="1"/>
  <c r="BH193" i="5" s="1"/>
  <c r="AP193" i="5"/>
  <c r="AK347" i="5"/>
  <c r="AK336" i="5"/>
  <c r="AK331" i="5"/>
  <c r="AK324" i="5"/>
  <c r="AK320" i="5"/>
  <c r="AK311" i="5"/>
  <c r="AK313" i="5"/>
  <c r="AK312" i="5"/>
  <c r="L311" i="5"/>
  <c r="AK278" i="5"/>
  <c r="AK247" i="5"/>
  <c r="AK242" i="5"/>
  <c r="AK241" i="5"/>
  <c r="AK240" i="5"/>
  <c r="AK212" i="5"/>
  <c r="AK204" i="5"/>
  <c r="AK179" i="5"/>
  <c r="AK168" i="5"/>
  <c r="AK167" i="5"/>
  <c r="AK156" i="5"/>
  <c r="AK155" i="5"/>
  <c r="AK148" i="5"/>
  <c r="D16" i="34"/>
  <c r="F13" i="34"/>
  <c r="E13" i="34"/>
  <c r="F10" i="34"/>
  <c r="E10" i="34"/>
  <c r="CS37" i="5" l="1"/>
  <c r="CV32" i="5"/>
  <c r="CS31" i="5"/>
  <c r="CV26" i="5"/>
  <c r="CS132" i="5"/>
  <c r="CV125" i="5"/>
  <c r="CS320" i="5"/>
  <c r="CV317" i="5"/>
  <c r="CS159" i="5"/>
  <c r="CV158" i="5"/>
  <c r="CS70" i="5"/>
  <c r="CV48" i="5"/>
  <c r="CS324" i="5"/>
  <c r="CV321" i="5"/>
  <c r="CV242" i="5"/>
  <c r="CY235" i="5"/>
  <c r="CY242" i="5" s="1"/>
  <c r="CS118" i="5"/>
  <c r="CV113" i="5"/>
  <c r="CS331" i="5"/>
  <c r="CV325" i="5"/>
  <c r="CS312" i="5"/>
  <c r="CV300" i="5"/>
  <c r="CS156" i="5"/>
  <c r="CV153" i="5"/>
  <c r="CS25" i="5"/>
  <c r="CV14" i="5"/>
  <c r="CP351" i="5"/>
  <c r="CS8" i="5"/>
  <c r="CV5" i="5"/>
  <c r="CS97" i="5"/>
  <c r="CV94" i="5"/>
  <c r="CS137" i="5"/>
  <c r="CV134" i="5"/>
  <c r="CY169" i="5"/>
  <c r="CY179" i="5" s="1"/>
  <c r="CV179" i="5"/>
  <c r="CH25" i="4"/>
  <c r="CE35" i="4"/>
  <c r="CE124" i="4" s="1"/>
  <c r="CE1" i="4" s="1"/>
  <c r="CP136" i="5"/>
  <c r="CS133" i="5"/>
  <c r="CP247" i="5"/>
  <c r="CS245" i="5"/>
  <c r="CP103" i="5"/>
  <c r="CS102" i="5"/>
  <c r="CP212" i="5"/>
  <c r="CS206" i="5"/>
  <c r="CP160" i="5"/>
  <c r="CS157" i="5"/>
  <c r="CP167" i="5"/>
  <c r="CS161" i="5"/>
  <c r="CP214" i="5"/>
  <c r="CS213" i="5"/>
  <c r="CP336" i="5"/>
  <c r="CS332" i="5"/>
  <c r="CP148" i="5"/>
  <c r="CS144" i="5"/>
  <c r="CP96" i="5"/>
  <c r="CS89" i="5"/>
  <c r="CP205" i="5"/>
  <c r="CS198" i="5"/>
  <c r="CP43" i="5"/>
  <c r="CS40" i="5"/>
  <c r="CM117" i="5"/>
  <c r="CP111" i="5"/>
  <c r="CM131" i="5"/>
  <c r="CP121" i="5"/>
  <c r="CM155" i="5"/>
  <c r="CP151" i="5"/>
  <c r="CM353" i="5"/>
  <c r="CJ311" i="5"/>
  <c r="CM282" i="5"/>
  <c r="CG1" i="5"/>
  <c r="BI24" i="4"/>
  <c r="BI35" i="4" s="1"/>
  <c r="AK203" i="5"/>
  <c r="BK193" i="5"/>
  <c r="BO193" i="5"/>
  <c r="BO88" i="5"/>
  <c r="BK88" i="5"/>
  <c r="BO218" i="5"/>
  <c r="BK218" i="5"/>
  <c r="BK227" i="5"/>
  <c r="BO227" i="5"/>
  <c r="BO285" i="5"/>
  <c r="BK285" i="5"/>
  <c r="BO289" i="5"/>
  <c r="BK289" i="5"/>
  <c r="BO294" i="5"/>
  <c r="BK294" i="5"/>
  <c r="BO298" i="5"/>
  <c r="BK298" i="5"/>
  <c r="BO302" i="5"/>
  <c r="BK302" i="5"/>
  <c r="BO306" i="5"/>
  <c r="BK306" i="5"/>
  <c r="BO12" i="5"/>
  <c r="BK12" i="5"/>
  <c r="BO78" i="5"/>
  <c r="BK78" i="5"/>
  <c r="BK93" i="5"/>
  <c r="BO93" i="5"/>
  <c r="BK89" i="5"/>
  <c r="BO89" i="5"/>
  <c r="BK109" i="5"/>
  <c r="BO109" i="5"/>
  <c r="BO128" i="5"/>
  <c r="BK128" i="5"/>
  <c r="BO189" i="5"/>
  <c r="BK189" i="5"/>
  <c r="BO185" i="5"/>
  <c r="BK185" i="5"/>
  <c r="BK75" i="5"/>
  <c r="BO75" i="5"/>
  <c r="BO217" i="5"/>
  <c r="BK217" i="5"/>
  <c r="BO222" i="5"/>
  <c r="BK222" i="5"/>
  <c r="BO226" i="5"/>
  <c r="BK226" i="5"/>
  <c r="BO230" i="5"/>
  <c r="BK230" i="5"/>
  <c r="BO288" i="5"/>
  <c r="BK288" i="5"/>
  <c r="BK293" i="5"/>
  <c r="BO293" i="5"/>
  <c r="BO297" i="5"/>
  <c r="BK297" i="5"/>
  <c r="BK301" i="5"/>
  <c r="BO301" i="5"/>
  <c r="BO305" i="5"/>
  <c r="BK305" i="5"/>
  <c r="BK80" i="5"/>
  <c r="BO80" i="5"/>
  <c r="BO76" i="5"/>
  <c r="BK76" i="5"/>
  <c r="BO223" i="5"/>
  <c r="BK223" i="5"/>
  <c r="BK77" i="5"/>
  <c r="BO77" i="5"/>
  <c r="BO172" i="5"/>
  <c r="BK172" i="5"/>
  <c r="BK186" i="5"/>
  <c r="BO186" i="5"/>
  <c r="BO195" i="5"/>
  <c r="BK195" i="5"/>
  <c r="BO208" i="5"/>
  <c r="BK208" i="5"/>
  <c r="BK225" i="5"/>
  <c r="BO225" i="5"/>
  <c r="BK229" i="5"/>
  <c r="BO229" i="5"/>
  <c r="BO245" i="5"/>
  <c r="BK245" i="5"/>
  <c r="BO279" i="5"/>
  <c r="BK279" i="5"/>
  <c r="BO283" i="5"/>
  <c r="BK283" i="5"/>
  <c r="BO292" i="5"/>
  <c r="BK292" i="5"/>
  <c r="BO296" i="5"/>
  <c r="BK296" i="5"/>
  <c r="BO304" i="5"/>
  <c r="BK304" i="5"/>
  <c r="BK164" i="5"/>
  <c r="BO164" i="5"/>
  <c r="BH168" i="5"/>
  <c r="BO92" i="5"/>
  <c r="BK92" i="5"/>
  <c r="BK184" i="5"/>
  <c r="BO184" i="5"/>
  <c r="BK281" i="5"/>
  <c r="BO281" i="5"/>
  <c r="BO90" i="5"/>
  <c r="BK90" i="5"/>
  <c r="BK123" i="5"/>
  <c r="BO123" i="5"/>
  <c r="BK140" i="5"/>
  <c r="BO140" i="5"/>
  <c r="BK191" i="5"/>
  <c r="BO191" i="5"/>
  <c r="BO182" i="5"/>
  <c r="BK182" i="5"/>
  <c r="BK221" i="5"/>
  <c r="BO221" i="5"/>
  <c r="BK86" i="5"/>
  <c r="BO86" i="5"/>
  <c r="BO91" i="5"/>
  <c r="BK91" i="5"/>
  <c r="BO111" i="5"/>
  <c r="BK111" i="5"/>
  <c r="BO122" i="5"/>
  <c r="BK122" i="5"/>
  <c r="BO151" i="5"/>
  <c r="BK151" i="5"/>
  <c r="BK192" i="5"/>
  <c r="BO192" i="5"/>
  <c r="BO187" i="5"/>
  <c r="BK187" i="5"/>
  <c r="BK183" i="5"/>
  <c r="BO183" i="5"/>
  <c r="BK197" i="5"/>
  <c r="BO197" i="5"/>
  <c r="BO207" i="5"/>
  <c r="BK207" i="5"/>
  <c r="BO224" i="5"/>
  <c r="BK224" i="5"/>
  <c r="BO282" i="5"/>
  <c r="BK282" i="5"/>
  <c r="BK286" i="5"/>
  <c r="BO286" i="5"/>
  <c r="BK291" i="5"/>
  <c r="BO291" i="5"/>
  <c r="BK295" i="5"/>
  <c r="BO295" i="5"/>
  <c r="BK299" i="5"/>
  <c r="BO299" i="5"/>
  <c r="BK303" i="5"/>
  <c r="BO303" i="5"/>
  <c r="BO343" i="5"/>
  <c r="BK343" i="5"/>
  <c r="N13" i="37"/>
  <c r="BD355" i="5"/>
  <c r="BD1" i="5" s="1"/>
  <c r="Q12" i="38"/>
  <c r="Q15" i="38" s="1"/>
  <c r="AV242" i="5"/>
  <c r="AY235" i="5"/>
  <c r="AY84" i="5"/>
  <c r="BB72" i="5"/>
  <c r="BE138" i="5"/>
  <c r="BH138" i="5" s="1"/>
  <c r="BB220" i="5"/>
  <c r="H13" i="38"/>
  <c r="H13" i="37"/>
  <c r="BB14" i="5"/>
  <c r="BB110" i="5"/>
  <c r="BB121" i="5"/>
  <c r="BB149" i="5"/>
  <c r="BB181" i="5"/>
  <c r="BE181" i="5" s="1"/>
  <c r="BH181" i="5" s="1"/>
  <c r="AV347" i="5"/>
  <c r="AY342" i="5"/>
  <c r="BB342" i="5" s="1"/>
  <c r="BE342" i="5" s="1"/>
  <c r="BH342" i="5" s="1"/>
  <c r="AV179" i="5"/>
  <c r="AY175" i="5"/>
  <c r="BB175" i="5" s="1"/>
  <c r="BE175" i="5" s="1"/>
  <c r="BH175" i="5" s="1"/>
  <c r="AY278" i="5"/>
  <c r="BB248" i="5"/>
  <c r="BB280" i="5"/>
  <c r="BB337" i="5"/>
  <c r="AU355" i="5"/>
  <c r="K12" i="38"/>
  <c r="K12" i="37"/>
  <c r="AX355" i="5"/>
  <c r="AX1" i="5" s="1"/>
  <c r="N12" i="38"/>
  <c r="N12" i="37"/>
  <c r="AS336" i="5"/>
  <c r="AV332" i="5"/>
  <c r="BA355" i="5"/>
  <c r="BA1" i="5" s="1"/>
  <c r="BB216" i="5"/>
  <c r="BE215" i="5"/>
  <c r="AS103" i="5"/>
  <c r="AV102" i="5"/>
  <c r="AS324" i="5"/>
  <c r="AV321" i="5"/>
  <c r="AS331" i="5"/>
  <c r="AV325" i="5"/>
  <c r="BB87" i="5"/>
  <c r="BB169" i="5"/>
  <c r="BE188" i="5"/>
  <c r="BH188" i="5" s="1"/>
  <c r="K14" i="36"/>
  <c r="K14" i="38"/>
  <c r="K14" i="37"/>
  <c r="AS70" i="5"/>
  <c r="AV48" i="5"/>
  <c r="AY212" i="5"/>
  <c r="BB206" i="5"/>
  <c r="BB243" i="5"/>
  <c r="AS320" i="5"/>
  <c r="AV317" i="5"/>
  <c r="H14" i="38"/>
  <c r="H14" i="37"/>
  <c r="K13" i="36"/>
  <c r="K13" i="38"/>
  <c r="K13" i="37"/>
  <c r="N14" i="38"/>
  <c r="N14" i="37"/>
  <c r="BG86" i="4"/>
  <c r="BJ86" i="4" s="1"/>
  <c r="BD99" i="4"/>
  <c r="H8" i="38"/>
  <c r="H8" i="36"/>
  <c r="H8" i="37"/>
  <c r="BG105" i="4"/>
  <c r="BJ105" i="4" s="1"/>
  <c r="BD122" i="4"/>
  <c r="H7" i="38"/>
  <c r="H7" i="37"/>
  <c r="H7" i="36"/>
  <c r="BA126" i="4"/>
  <c r="BG5" i="4"/>
  <c r="BD126" i="4"/>
  <c r="H5" i="38"/>
  <c r="H5" i="37"/>
  <c r="H5" i="36"/>
  <c r="BD35" i="4"/>
  <c r="H6" i="38"/>
  <c r="H6" i="36"/>
  <c r="H6" i="37"/>
  <c r="BA99" i="4"/>
  <c r="AZ124" i="4"/>
  <c r="AZ1" i="4" s="1"/>
  <c r="BA122" i="4"/>
  <c r="L23" i="37"/>
  <c r="O20" i="37"/>
  <c r="O23" i="37" s="1"/>
  <c r="K12" i="36"/>
  <c r="AS43" i="5"/>
  <c r="AV40" i="5"/>
  <c r="AS156" i="5"/>
  <c r="AV153" i="5"/>
  <c r="AV155" i="5" s="1"/>
  <c r="AS241" i="5"/>
  <c r="AV228" i="5"/>
  <c r="H13" i="36"/>
  <c r="AS37" i="5"/>
  <c r="AV32" i="5"/>
  <c r="AS97" i="5"/>
  <c r="AV94" i="5"/>
  <c r="AV96" i="5" s="1"/>
  <c r="AS118" i="5"/>
  <c r="AV113" i="5"/>
  <c r="H14" i="36"/>
  <c r="AS31" i="5"/>
  <c r="AV26" i="5"/>
  <c r="AV212" i="5"/>
  <c r="AV84" i="5"/>
  <c r="AV278" i="5"/>
  <c r="AR350" i="5"/>
  <c r="AR355" i="5" s="1"/>
  <c r="AR1" i="5" s="1"/>
  <c r="AS132" i="5"/>
  <c r="AV125" i="5"/>
  <c r="AV131" i="5" s="1"/>
  <c r="AS8" i="5"/>
  <c r="AV5" i="5"/>
  <c r="AS204" i="5"/>
  <c r="AV194" i="5"/>
  <c r="AS312" i="5"/>
  <c r="AV300" i="5"/>
  <c r="AV311" i="5" s="1"/>
  <c r="AS247" i="5"/>
  <c r="AV244" i="5"/>
  <c r="AY244" i="5" s="1"/>
  <c r="BB244" i="5" s="1"/>
  <c r="BE244" i="5" s="1"/>
  <c r="BH244" i="5" s="1"/>
  <c r="AS155" i="5"/>
  <c r="AS347" i="5"/>
  <c r="AS117" i="5"/>
  <c r="AS131" i="5"/>
  <c r="AS203" i="5"/>
  <c r="AS179" i="5"/>
  <c r="AS240" i="5"/>
  <c r="AS278" i="5"/>
  <c r="AS96" i="5"/>
  <c r="AS212" i="5"/>
  <c r="AS242" i="5"/>
  <c r="AS311" i="5"/>
  <c r="AS84" i="5"/>
  <c r="BA35" i="4"/>
  <c r="CP353" i="5" l="1"/>
  <c r="CS351" i="5"/>
  <c r="CY134" i="5"/>
  <c r="CY137" i="5" s="1"/>
  <c r="CV137" i="5"/>
  <c r="CV8" i="5"/>
  <c r="CY5" i="5"/>
  <c r="CS43" i="5"/>
  <c r="CV40" i="5"/>
  <c r="CS96" i="5"/>
  <c r="CV89" i="5"/>
  <c r="CS336" i="5"/>
  <c r="CV332" i="5"/>
  <c r="CS167" i="5"/>
  <c r="CV161" i="5"/>
  <c r="CS212" i="5"/>
  <c r="CV206" i="5"/>
  <c r="CS247" i="5"/>
  <c r="CV245" i="5"/>
  <c r="CV25" i="5"/>
  <c r="CY14" i="5"/>
  <c r="CY25" i="5" s="1"/>
  <c r="CV312" i="5"/>
  <c r="CY300" i="5"/>
  <c r="CY312" i="5" s="1"/>
  <c r="CV118" i="5"/>
  <c r="CY113" i="5"/>
  <c r="CY118" i="5" s="1"/>
  <c r="CV324" i="5"/>
  <c r="CY321" i="5"/>
  <c r="CY158" i="5"/>
  <c r="CY159" i="5" s="1"/>
  <c r="CV159" i="5"/>
  <c r="CV132" i="5"/>
  <c r="CY125" i="5"/>
  <c r="CY132" i="5" s="1"/>
  <c r="CV37" i="5"/>
  <c r="CY32" i="5"/>
  <c r="CY37" i="5" s="1"/>
  <c r="CY94" i="5"/>
  <c r="CY97" i="5" s="1"/>
  <c r="CV97" i="5"/>
  <c r="CS205" i="5"/>
  <c r="CV198" i="5"/>
  <c r="CS148" i="5"/>
  <c r="CV144" i="5"/>
  <c r="CS214" i="5"/>
  <c r="CV213" i="5"/>
  <c r="CS160" i="5"/>
  <c r="CV157" i="5"/>
  <c r="CS103" i="5"/>
  <c r="CV102" i="5"/>
  <c r="CS136" i="5"/>
  <c r="CV133" i="5"/>
  <c r="CY153" i="5"/>
  <c r="CY156" i="5" s="1"/>
  <c r="CV156" i="5"/>
  <c r="CY325" i="5"/>
  <c r="CY331" i="5" s="1"/>
  <c r="CV331" i="5"/>
  <c r="CV70" i="5"/>
  <c r="CY48" i="5"/>
  <c r="CY70" i="5" s="1"/>
  <c r="CY317" i="5"/>
  <c r="CY320" i="5" s="1"/>
  <c r="CV320" i="5"/>
  <c r="CY26" i="5"/>
  <c r="CY31" i="5" s="1"/>
  <c r="CV31" i="5"/>
  <c r="CK25" i="4"/>
  <c r="CH35" i="4"/>
  <c r="CP131" i="5"/>
  <c r="CS121" i="5"/>
  <c r="CP155" i="5"/>
  <c r="CS151" i="5"/>
  <c r="CP117" i="5"/>
  <c r="CS111" i="5"/>
  <c r="CV111" i="5" s="1"/>
  <c r="CM311" i="5"/>
  <c r="CP282" i="5"/>
  <c r="CJ350" i="5"/>
  <c r="CJ355" i="5" s="1"/>
  <c r="CJ1" i="5"/>
  <c r="BI124" i="4"/>
  <c r="BI1" i="4" s="1"/>
  <c r="Q8" i="38"/>
  <c r="Q9" i="38" s="1"/>
  <c r="Q17" i="38" s="1"/>
  <c r="Q21" i="38" s="1"/>
  <c r="Q23" i="38" s="1"/>
  <c r="Q25" i="38" s="1"/>
  <c r="BJ24" i="4"/>
  <c r="BM24" i="4" s="1"/>
  <c r="BM105" i="4"/>
  <c r="BJ122" i="4"/>
  <c r="R6" i="38" s="1"/>
  <c r="BG126" i="4"/>
  <c r="BJ5" i="4"/>
  <c r="AY179" i="5"/>
  <c r="BK188" i="5"/>
  <c r="BO188" i="5"/>
  <c r="BO244" i="5"/>
  <c r="BK244" i="5"/>
  <c r="BO175" i="5"/>
  <c r="BK175" i="5"/>
  <c r="BK181" i="5"/>
  <c r="BO181" i="5"/>
  <c r="BK168" i="5"/>
  <c r="BO168" i="5"/>
  <c r="BK342" i="5"/>
  <c r="BO342" i="5"/>
  <c r="BE216" i="5"/>
  <c r="BH215" i="5"/>
  <c r="N15" i="37"/>
  <c r="H9" i="37"/>
  <c r="N15" i="38"/>
  <c r="N25" i="38" s="1"/>
  <c r="K15" i="38"/>
  <c r="K25" i="38" s="1"/>
  <c r="AV204" i="5"/>
  <c r="AY194" i="5"/>
  <c r="AY317" i="5"/>
  <c r="AV320" i="5"/>
  <c r="BB212" i="5"/>
  <c r="BE206" i="5"/>
  <c r="BB347" i="5"/>
  <c r="BE337" i="5"/>
  <c r="BB278" i="5"/>
  <c r="BE248" i="5"/>
  <c r="BE149" i="5"/>
  <c r="BH149" i="5" s="1"/>
  <c r="BE110" i="5"/>
  <c r="BH110" i="5" s="1"/>
  <c r="AY242" i="5"/>
  <c r="BB235" i="5"/>
  <c r="H12" i="38"/>
  <c r="H15" i="38" s="1"/>
  <c r="H12" i="37"/>
  <c r="H15" i="37" s="1"/>
  <c r="AV31" i="5"/>
  <c r="AY26" i="5"/>
  <c r="AV118" i="5"/>
  <c r="AY113" i="5"/>
  <c r="AV37" i="5"/>
  <c r="AY32" i="5"/>
  <c r="AV241" i="5"/>
  <c r="AY228" i="5"/>
  <c r="AV43" i="5"/>
  <c r="AY40" i="5"/>
  <c r="BE87" i="5"/>
  <c r="BH87" i="5" s="1"/>
  <c r="AV312" i="5"/>
  <c r="AY300" i="5"/>
  <c r="BB247" i="5"/>
  <c r="BE243" i="5"/>
  <c r="AY48" i="5"/>
  <c r="AV70" i="5"/>
  <c r="AY102" i="5"/>
  <c r="AV103" i="5"/>
  <c r="BE280" i="5"/>
  <c r="BH280" i="5" s="1"/>
  <c r="BE121" i="5"/>
  <c r="BH121" i="5" s="1"/>
  <c r="BE14" i="5"/>
  <c r="BH14" i="5" s="1"/>
  <c r="BE220" i="5"/>
  <c r="BH220" i="5" s="1"/>
  <c r="BE72" i="5"/>
  <c r="BB84" i="5"/>
  <c r="AV132" i="5"/>
  <c r="AY125" i="5"/>
  <c r="AV97" i="5"/>
  <c r="AY94" i="5"/>
  <c r="AV156" i="5"/>
  <c r="AY153" i="5"/>
  <c r="BB179" i="5"/>
  <c r="BE169" i="5"/>
  <c r="AY325" i="5"/>
  <c r="AV331" i="5"/>
  <c r="AY247" i="5"/>
  <c r="AV247" i="5"/>
  <c r="K15" i="36"/>
  <c r="K17" i="36" s="1"/>
  <c r="K15" i="37"/>
  <c r="AY347" i="5"/>
  <c r="AV324" i="5"/>
  <c r="AY321" i="5"/>
  <c r="AY332" i="5"/>
  <c r="AV336" i="5"/>
  <c r="AV8" i="5"/>
  <c r="AY5" i="5"/>
  <c r="BG122" i="4"/>
  <c r="L7" i="36"/>
  <c r="L7" i="37"/>
  <c r="L7" i="38"/>
  <c r="I7" i="38"/>
  <c r="I7" i="37"/>
  <c r="I7" i="36"/>
  <c r="L6" i="36"/>
  <c r="L6" i="38"/>
  <c r="L6" i="37"/>
  <c r="L8" i="37"/>
  <c r="L8" i="36"/>
  <c r="L8" i="38"/>
  <c r="BG35" i="4"/>
  <c r="BG99" i="4"/>
  <c r="BJ99" i="4"/>
  <c r="H9" i="38"/>
  <c r="I6" i="36"/>
  <c r="I6" i="38"/>
  <c r="I6" i="37"/>
  <c r="I8" i="38"/>
  <c r="I8" i="37"/>
  <c r="I8" i="36"/>
  <c r="H9" i="36"/>
  <c r="H12" i="36"/>
  <c r="H15" i="36" s="1"/>
  <c r="AV203" i="5"/>
  <c r="AV117" i="5"/>
  <c r="AV240" i="5"/>
  <c r="AK176" i="5"/>
  <c r="AK20" i="5"/>
  <c r="AS20" i="5" s="1"/>
  <c r="AK198" i="5"/>
  <c r="AK143" i="5"/>
  <c r="AK13" i="5"/>
  <c r="AS13" i="5" s="1"/>
  <c r="CY324" i="5" l="1"/>
  <c r="K17" i="38"/>
  <c r="BJ35" i="4"/>
  <c r="BM35" i="4" s="1"/>
  <c r="CY351" i="5"/>
  <c r="CS131" i="5"/>
  <c r="CV121" i="5"/>
  <c r="CV136" i="5"/>
  <c r="CY133" i="5"/>
  <c r="CY136" i="5" s="1"/>
  <c r="CV160" i="5"/>
  <c r="CY157" i="5"/>
  <c r="CY160" i="5" s="1"/>
  <c r="CV148" i="5"/>
  <c r="CY144" i="5"/>
  <c r="CY148" i="5" s="1"/>
  <c r="CY245" i="5"/>
  <c r="CY247" i="5" s="1"/>
  <c r="CV247" i="5"/>
  <c r="CV167" i="5"/>
  <c r="CY161" i="5"/>
  <c r="CY167" i="5" s="1"/>
  <c r="CY89" i="5"/>
  <c r="CY96" i="5" s="1"/>
  <c r="CV96" i="5"/>
  <c r="CY8" i="5"/>
  <c r="CV351" i="5"/>
  <c r="CY111" i="5"/>
  <c r="CY117" i="5" s="1"/>
  <c r="CV117" i="5"/>
  <c r="CS155" i="5"/>
  <c r="CV151" i="5"/>
  <c r="CS353" i="5"/>
  <c r="CV103" i="5"/>
  <c r="CY102" i="5"/>
  <c r="CY103" i="5" s="1"/>
  <c r="CY213" i="5"/>
  <c r="CY214" i="5" s="1"/>
  <c r="CV214" i="5"/>
  <c r="CY198" i="5"/>
  <c r="CY205" i="5" s="1"/>
  <c r="CV205" i="5"/>
  <c r="CV212" i="5"/>
  <c r="CY206" i="5"/>
  <c r="CY212" i="5" s="1"/>
  <c r="CV336" i="5"/>
  <c r="CY332" i="5"/>
  <c r="CY336" i="5" s="1"/>
  <c r="CY40" i="5"/>
  <c r="CY43" i="5" s="1"/>
  <c r="CV43" i="5"/>
  <c r="CN25" i="4"/>
  <c r="CN35" i="4" s="1"/>
  <c r="D8" i="53" s="1"/>
  <c r="D9" i="53" s="1"/>
  <c r="CK35" i="4"/>
  <c r="CK124" i="4" s="1"/>
  <c r="CK1" i="4" s="1"/>
  <c r="CH124" i="4"/>
  <c r="CH1" i="4" s="1"/>
  <c r="CP311" i="5"/>
  <c r="CS282" i="5"/>
  <c r="CS117" i="5"/>
  <c r="CM350" i="5"/>
  <c r="CM355" i="5" s="1"/>
  <c r="CM1" i="5"/>
  <c r="R7" i="38"/>
  <c r="D7" i="33"/>
  <c r="BM99" i="4"/>
  <c r="H17" i="37"/>
  <c r="D6" i="33"/>
  <c r="BM122" i="4"/>
  <c r="BM5" i="4"/>
  <c r="BJ126" i="4"/>
  <c r="BM126" i="4" s="1"/>
  <c r="BO280" i="5"/>
  <c r="BK121" i="5"/>
  <c r="BO121" i="5"/>
  <c r="BO87" i="5"/>
  <c r="BK87" i="5"/>
  <c r="BO220" i="5"/>
  <c r="BK220" i="5"/>
  <c r="BO110" i="5"/>
  <c r="BK110" i="5"/>
  <c r="BH216" i="5"/>
  <c r="BK215" i="5"/>
  <c r="BO215" i="5"/>
  <c r="BE179" i="5"/>
  <c r="BH169" i="5"/>
  <c r="BE247" i="5"/>
  <c r="BH243" i="5"/>
  <c r="BE347" i="5"/>
  <c r="BH337" i="5"/>
  <c r="BE84" i="5"/>
  <c r="BH72" i="5"/>
  <c r="BE278" i="5"/>
  <c r="BH248" i="5"/>
  <c r="BE212" i="5"/>
  <c r="BH206" i="5"/>
  <c r="H25" i="37"/>
  <c r="N17" i="37"/>
  <c r="N25" i="37"/>
  <c r="N17" i="38"/>
  <c r="AY331" i="5"/>
  <c r="BB325" i="5"/>
  <c r="AY70" i="5"/>
  <c r="BB48" i="5"/>
  <c r="AY8" i="5"/>
  <c r="BB5" i="5"/>
  <c r="AY324" i="5"/>
  <c r="BB321" i="5"/>
  <c r="AY156" i="5"/>
  <c r="BB153" i="5"/>
  <c r="AY155" i="5"/>
  <c r="AY132" i="5"/>
  <c r="BB125" i="5"/>
  <c r="AY131" i="5"/>
  <c r="AY312" i="5"/>
  <c r="BB300" i="5"/>
  <c r="AY311" i="5"/>
  <c r="AY241" i="5"/>
  <c r="BB228" i="5"/>
  <c r="AY240" i="5"/>
  <c r="AY118" i="5"/>
  <c r="BB113" i="5"/>
  <c r="AY117" i="5"/>
  <c r="AY204" i="5"/>
  <c r="BB194" i="5"/>
  <c r="AY203" i="5"/>
  <c r="AY336" i="5"/>
  <c r="BB332" i="5"/>
  <c r="K25" i="37"/>
  <c r="K17" i="37"/>
  <c r="AY103" i="5"/>
  <c r="BB102" i="5"/>
  <c r="BB317" i="5"/>
  <c r="AY320" i="5"/>
  <c r="AY97" i="5"/>
  <c r="BB94" i="5"/>
  <c r="AY96" i="5"/>
  <c r="AY43" i="5"/>
  <c r="BB40" i="5"/>
  <c r="BB32" i="5"/>
  <c r="AY37" i="5"/>
  <c r="BB26" i="5"/>
  <c r="AY31" i="5"/>
  <c r="BB242" i="5"/>
  <c r="BE235" i="5"/>
  <c r="K25" i="36"/>
  <c r="O6" i="38"/>
  <c r="O6" i="37"/>
  <c r="O7" i="37"/>
  <c r="O7" i="38"/>
  <c r="H25" i="36"/>
  <c r="H25" i="38"/>
  <c r="H17" i="38"/>
  <c r="O8" i="38"/>
  <c r="O8" i="37"/>
  <c r="AS24" i="5"/>
  <c r="AV13" i="5"/>
  <c r="AY13" i="5" s="1"/>
  <c r="AS23" i="5"/>
  <c r="AV20" i="5"/>
  <c r="AS25" i="5"/>
  <c r="H17" i="36"/>
  <c r="AK146" i="5"/>
  <c r="AK147" i="5"/>
  <c r="AS143" i="5"/>
  <c r="AK23" i="5"/>
  <c r="AK205" i="5"/>
  <c r="AS198" i="5"/>
  <c r="AK180" i="5"/>
  <c r="AS176" i="5"/>
  <c r="AN122" i="4"/>
  <c r="AP105" i="4"/>
  <c r="AO105" i="4"/>
  <c r="AP97" i="4"/>
  <c r="AO97" i="4"/>
  <c r="AP94" i="4"/>
  <c r="AP93" i="4"/>
  <c r="AO93" i="4"/>
  <c r="AP92" i="4"/>
  <c r="AP90" i="4"/>
  <c r="AO90" i="4"/>
  <c r="AP89" i="4"/>
  <c r="AO89" i="4"/>
  <c r="AP88" i="4"/>
  <c r="AO88" i="4"/>
  <c r="AP71" i="4"/>
  <c r="AO71" i="4"/>
  <c r="AP40" i="4"/>
  <c r="AO40" i="4"/>
  <c r="AP37" i="4"/>
  <c r="AO37" i="4"/>
  <c r="AP25" i="4"/>
  <c r="AO25" i="4"/>
  <c r="AO6" i="4"/>
  <c r="AP6" i="4"/>
  <c r="AO7" i="4"/>
  <c r="AP7" i="4"/>
  <c r="AO8" i="4"/>
  <c r="AP8" i="4"/>
  <c r="AO9" i="4"/>
  <c r="AP9" i="4"/>
  <c r="AO10" i="4"/>
  <c r="AP10" i="4"/>
  <c r="AP11" i="4"/>
  <c r="AO12" i="4"/>
  <c r="AP12" i="4"/>
  <c r="AO13" i="4"/>
  <c r="AP13" i="4"/>
  <c r="AO15" i="4"/>
  <c r="AP15" i="4"/>
  <c r="AO16" i="4"/>
  <c r="AP16" i="4"/>
  <c r="AO21" i="4"/>
  <c r="AP21" i="4"/>
  <c r="AP5" i="4"/>
  <c r="AO5" i="4"/>
  <c r="AH126" i="4"/>
  <c r="AN126" i="4"/>
  <c r="L126" i="4"/>
  <c r="D8" i="51" l="1"/>
  <c r="D9" i="51" s="1"/>
  <c r="D8" i="52"/>
  <c r="D9" i="52" s="1"/>
  <c r="R8" i="38"/>
  <c r="D8" i="48"/>
  <c r="D9" i="48" s="1"/>
  <c r="D8" i="50"/>
  <c r="D9" i="50" s="1"/>
  <c r="D8" i="49"/>
  <c r="D9" i="49" s="1"/>
  <c r="D8" i="45"/>
  <c r="D9" i="45" s="1"/>
  <c r="D8" i="47"/>
  <c r="D9" i="47" s="1"/>
  <c r="D8" i="46"/>
  <c r="D9" i="46" s="1"/>
  <c r="CN124" i="4"/>
  <c r="CN1" i="4" s="1"/>
  <c r="D8" i="14"/>
  <c r="D8" i="33" s="1"/>
  <c r="CY151" i="5"/>
  <c r="CY155" i="5" s="1"/>
  <c r="CV155" i="5"/>
  <c r="CY121" i="5"/>
  <c r="CY131" i="5" s="1"/>
  <c r="CV131" i="5"/>
  <c r="CY353" i="5"/>
  <c r="CS311" i="5"/>
  <c r="CS1" i="5" s="1"/>
  <c r="CV282" i="5"/>
  <c r="CV353" i="5"/>
  <c r="CP350" i="5"/>
  <c r="CP355" i="5" s="1"/>
  <c r="CP1" i="5"/>
  <c r="C6" i="33"/>
  <c r="AO126" i="4"/>
  <c r="BH278" i="5"/>
  <c r="BK248" i="5"/>
  <c r="BH179" i="5"/>
  <c r="BO169" i="5"/>
  <c r="BK169" i="5"/>
  <c r="BO216" i="5"/>
  <c r="BK216" i="5"/>
  <c r="BH347" i="5"/>
  <c r="BO337" i="5"/>
  <c r="BK337" i="5"/>
  <c r="BO206" i="5"/>
  <c r="BH212" i="5"/>
  <c r="BK206" i="5"/>
  <c r="BH84" i="5"/>
  <c r="BO72" i="5"/>
  <c r="BK72" i="5"/>
  <c r="BH247" i="5"/>
  <c r="BO243" i="5"/>
  <c r="BK243" i="5"/>
  <c r="BE242" i="5"/>
  <c r="BH235" i="5"/>
  <c r="BB37" i="5"/>
  <c r="BE32" i="5"/>
  <c r="BB97" i="5"/>
  <c r="BE94" i="5"/>
  <c r="BH94" i="5" s="1"/>
  <c r="BB96" i="5"/>
  <c r="BB103" i="5"/>
  <c r="BE102" i="5"/>
  <c r="BB336" i="5"/>
  <c r="BE332" i="5"/>
  <c r="BB312" i="5"/>
  <c r="BE300" i="5"/>
  <c r="BH300" i="5" s="1"/>
  <c r="BB311" i="5"/>
  <c r="BB324" i="5"/>
  <c r="BE321" i="5"/>
  <c r="BE48" i="5"/>
  <c r="BB70" i="5"/>
  <c r="AV25" i="5"/>
  <c r="AY20" i="5"/>
  <c r="BE317" i="5"/>
  <c r="BB320" i="5"/>
  <c r="BB204" i="5"/>
  <c r="BE194" i="5"/>
  <c r="BH194" i="5" s="1"/>
  <c r="BB203" i="5"/>
  <c r="BB132" i="5"/>
  <c r="BE125" i="5"/>
  <c r="BH125" i="5" s="1"/>
  <c r="BB131" i="5"/>
  <c r="BB31" i="5"/>
  <c r="BE26" i="5"/>
  <c r="BE113" i="5"/>
  <c r="BH113" i="5" s="1"/>
  <c r="BB118" i="5"/>
  <c r="BB117" i="5"/>
  <c r="BB156" i="5"/>
  <c r="BE153" i="5"/>
  <c r="BH153" i="5" s="1"/>
  <c r="BB155" i="5"/>
  <c r="BB8" i="5"/>
  <c r="BE5" i="5"/>
  <c r="BH5" i="5" s="1"/>
  <c r="BB331" i="5"/>
  <c r="BE325" i="5"/>
  <c r="AY23" i="5"/>
  <c r="BB13" i="5"/>
  <c r="AY24" i="5"/>
  <c r="BB43" i="5"/>
  <c r="BE40" i="5"/>
  <c r="BB241" i="5"/>
  <c r="BE228" i="5"/>
  <c r="BH228" i="5" s="1"/>
  <c r="BB240" i="5"/>
  <c r="F6" i="37"/>
  <c r="F6" i="38"/>
  <c r="F6" i="36"/>
  <c r="AS147" i="5"/>
  <c r="AS351" i="5" s="1"/>
  <c r="AV143" i="5"/>
  <c r="AY143" i="5" s="1"/>
  <c r="AS146" i="5"/>
  <c r="AS350" i="5" s="1"/>
  <c r="AV24" i="5"/>
  <c r="AV23" i="5"/>
  <c r="AS205" i="5"/>
  <c r="AV198" i="5"/>
  <c r="AS180" i="5"/>
  <c r="AV176" i="5"/>
  <c r="AP126" i="4"/>
  <c r="AP86" i="4"/>
  <c r="AP84" i="4"/>
  <c r="AP30" i="4"/>
  <c r="AP29" i="4"/>
  <c r="AP28" i="4"/>
  <c r="AP27" i="4"/>
  <c r="AP24" i="4"/>
  <c r="AH122" i="4"/>
  <c r="AH99" i="4"/>
  <c r="AQ37" i="4"/>
  <c r="D13" i="52" l="1"/>
  <c r="D13" i="53"/>
  <c r="D13" i="50"/>
  <c r="D13" i="51"/>
  <c r="D13" i="48"/>
  <c r="D13" i="49"/>
  <c r="D13" i="14"/>
  <c r="D13" i="47"/>
  <c r="D13" i="46"/>
  <c r="D13" i="45"/>
  <c r="CY282" i="5"/>
  <c r="CV311" i="5"/>
  <c r="CS350" i="5"/>
  <c r="BH204" i="5"/>
  <c r="BO194" i="5"/>
  <c r="BK194" i="5"/>
  <c r="BH203" i="5"/>
  <c r="BK179" i="5"/>
  <c r="BO179" i="5"/>
  <c r="BH312" i="5"/>
  <c r="BO300" i="5"/>
  <c r="BK300" i="5"/>
  <c r="BH311" i="5"/>
  <c r="BO94" i="5"/>
  <c r="BK94" i="5"/>
  <c r="BH96" i="5"/>
  <c r="BH242" i="5"/>
  <c r="BO235" i="5"/>
  <c r="BK247" i="5"/>
  <c r="BO247" i="5"/>
  <c r="BO278" i="5"/>
  <c r="BK278" i="5"/>
  <c r="BH241" i="5"/>
  <c r="BO228" i="5"/>
  <c r="BK228" i="5"/>
  <c r="BH240" i="5"/>
  <c r="BH156" i="5"/>
  <c r="BK153" i="5"/>
  <c r="BO153" i="5"/>
  <c r="BH155" i="5"/>
  <c r="BH118" i="5"/>
  <c r="BO113" i="5"/>
  <c r="BK113" i="5"/>
  <c r="BH117" i="5"/>
  <c r="BH132" i="5"/>
  <c r="BO125" i="5"/>
  <c r="BK125" i="5"/>
  <c r="BH131" i="5"/>
  <c r="BK84" i="5"/>
  <c r="BO84" i="5"/>
  <c r="BO212" i="5"/>
  <c r="BK212" i="5"/>
  <c r="BK347" i="5"/>
  <c r="BO347" i="5"/>
  <c r="BE8" i="5"/>
  <c r="BE31" i="5"/>
  <c r="BH26" i="5"/>
  <c r="BH97" i="5"/>
  <c r="BE336" i="5"/>
  <c r="BH332" i="5"/>
  <c r="BE331" i="5"/>
  <c r="BH325" i="5"/>
  <c r="BE324" i="5"/>
  <c r="BH321" i="5"/>
  <c r="BE37" i="5"/>
  <c r="BH32" i="5"/>
  <c r="BE43" i="5"/>
  <c r="BH40" i="5"/>
  <c r="BE320" i="5"/>
  <c r="BH317" i="5"/>
  <c r="BE70" i="5"/>
  <c r="BH48" i="5"/>
  <c r="BE103" i="5"/>
  <c r="BH102" i="5"/>
  <c r="I12" i="37"/>
  <c r="I12" i="38"/>
  <c r="BB23" i="5"/>
  <c r="BE13" i="5"/>
  <c r="BH13" i="5" s="1"/>
  <c r="BB24" i="5"/>
  <c r="BE97" i="5"/>
  <c r="BE96" i="5"/>
  <c r="BE241" i="5"/>
  <c r="BE240" i="5"/>
  <c r="BE156" i="5"/>
  <c r="BE155" i="5"/>
  <c r="BE118" i="5"/>
  <c r="BE117" i="5"/>
  <c r="BE132" i="5"/>
  <c r="BE131" i="5"/>
  <c r="I13" i="38"/>
  <c r="I13" i="37"/>
  <c r="BE204" i="5"/>
  <c r="BE203" i="5"/>
  <c r="BB20" i="5"/>
  <c r="AY25" i="5"/>
  <c r="AY147" i="5"/>
  <c r="AY351" i="5" s="1"/>
  <c r="BB143" i="5"/>
  <c r="AY146" i="5"/>
  <c r="AY350" i="5" s="1"/>
  <c r="BE312" i="5"/>
  <c r="BE311" i="5"/>
  <c r="D6" i="38"/>
  <c r="D6" i="36"/>
  <c r="D6" i="37"/>
  <c r="D7" i="38"/>
  <c r="D7" i="37"/>
  <c r="D7" i="36"/>
  <c r="AV180" i="5"/>
  <c r="AY176" i="5"/>
  <c r="AV205" i="5"/>
  <c r="AY198" i="5"/>
  <c r="I13" i="36"/>
  <c r="I12" i="36"/>
  <c r="AV147" i="5"/>
  <c r="AV351" i="5" s="1"/>
  <c r="AV146" i="5"/>
  <c r="AV350" i="5" s="1"/>
  <c r="AS353" i="5"/>
  <c r="AP122" i="4"/>
  <c r="AN14" i="4"/>
  <c r="CY311" i="5" l="1"/>
  <c r="CY350" i="5" s="1"/>
  <c r="D12" i="52" s="1"/>
  <c r="D14" i="52" s="1"/>
  <c r="D25" i="52" s="1"/>
  <c r="CY357" i="5"/>
  <c r="CY1" i="5"/>
  <c r="CS355" i="5"/>
  <c r="CV350" i="5"/>
  <c r="CV355" i="5" s="1"/>
  <c r="CV1" i="5"/>
  <c r="BA14" i="4"/>
  <c r="AP14" i="4"/>
  <c r="AO14" i="4"/>
  <c r="BH24" i="5"/>
  <c r="BO13" i="5"/>
  <c r="BK13" i="5"/>
  <c r="BH23" i="5"/>
  <c r="BH103" i="5"/>
  <c r="BO102" i="5"/>
  <c r="BK102" i="5"/>
  <c r="BH320" i="5"/>
  <c r="BO317" i="5"/>
  <c r="BK317" i="5"/>
  <c r="BH37" i="5"/>
  <c r="BK32" i="5"/>
  <c r="BO32" i="5"/>
  <c r="BH331" i="5"/>
  <c r="BK325" i="5"/>
  <c r="BO325" i="5"/>
  <c r="BK97" i="5"/>
  <c r="BO97" i="5"/>
  <c r="BK131" i="5"/>
  <c r="BO131" i="5"/>
  <c r="BK117" i="5"/>
  <c r="BO117" i="5"/>
  <c r="BK155" i="5"/>
  <c r="BO155" i="5"/>
  <c r="BK240" i="5"/>
  <c r="BO240" i="5"/>
  <c r="BK312" i="5"/>
  <c r="BO312" i="5"/>
  <c r="BH8" i="5"/>
  <c r="BK5" i="5"/>
  <c r="BO5" i="5"/>
  <c r="BK132" i="5"/>
  <c r="BO132" i="5"/>
  <c r="BK118" i="5"/>
  <c r="BO118" i="5"/>
  <c r="BO156" i="5"/>
  <c r="BK156" i="5"/>
  <c r="BO241" i="5"/>
  <c r="BK241" i="5"/>
  <c r="BO203" i="5"/>
  <c r="BK203" i="5"/>
  <c r="BH70" i="5"/>
  <c r="BO48" i="5"/>
  <c r="BK48" i="5"/>
  <c r="BH43" i="5"/>
  <c r="BK40" i="5"/>
  <c r="BO40" i="5"/>
  <c r="BH324" i="5"/>
  <c r="BO321" i="5"/>
  <c r="BK321" i="5"/>
  <c r="BH336" i="5"/>
  <c r="BO332" i="5"/>
  <c r="BK332" i="5"/>
  <c r="BK96" i="5"/>
  <c r="BO96" i="5"/>
  <c r="BO204" i="5"/>
  <c r="BK204" i="5"/>
  <c r="BH31" i="5"/>
  <c r="BO26" i="5"/>
  <c r="BK242" i="5"/>
  <c r="BO242" i="5"/>
  <c r="BO311" i="5"/>
  <c r="BK311" i="5"/>
  <c r="AV353" i="5"/>
  <c r="L14" i="37" s="1"/>
  <c r="L12" i="36"/>
  <c r="L12" i="37"/>
  <c r="L12" i="38"/>
  <c r="L13" i="36"/>
  <c r="L13" i="37"/>
  <c r="L13" i="38"/>
  <c r="I14" i="37"/>
  <c r="I15" i="37" s="1"/>
  <c r="I14" i="38"/>
  <c r="I15" i="38" s="1"/>
  <c r="O12" i="38"/>
  <c r="O12" i="37"/>
  <c r="BE20" i="5"/>
  <c r="BB25" i="5"/>
  <c r="BB147" i="5"/>
  <c r="BB351" i="5" s="1"/>
  <c r="BE143" i="5"/>
  <c r="BH143" i="5" s="1"/>
  <c r="BB146" i="5"/>
  <c r="BB350" i="5" s="1"/>
  <c r="O13" i="37"/>
  <c r="O13" i="38"/>
  <c r="BE23" i="5"/>
  <c r="BE24" i="5"/>
  <c r="AY180" i="5"/>
  <c r="BB176" i="5"/>
  <c r="AY205" i="5"/>
  <c r="BB198" i="5"/>
  <c r="I14" i="36"/>
  <c r="I15" i="36" s="1"/>
  <c r="AS355" i="5"/>
  <c r="AS1" i="5" s="1"/>
  <c r="AL313" i="5"/>
  <c r="AK132" i="5"/>
  <c r="AK131" i="5"/>
  <c r="AK118" i="5"/>
  <c r="AK117" i="5"/>
  <c r="AK103" i="5"/>
  <c r="AK97" i="5"/>
  <c r="AK96" i="5"/>
  <c r="AK84" i="5"/>
  <c r="AK70" i="5"/>
  <c r="AK43" i="5"/>
  <c r="AK37" i="5"/>
  <c r="AK31" i="5"/>
  <c r="AK25" i="5"/>
  <c r="AK353" i="5" s="1"/>
  <c r="AK24" i="5"/>
  <c r="AK8" i="5"/>
  <c r="AN99" i="4"/>
  <c r="AN35" i="4"/>
  <c r="AN22" i="4"/>
  <c r="D12" i="14" l="1"/>
  <c r="CY355" i="5"/>
  <c r="D12" i="45"/>
  <c r="D14" i="45" s="1"/>
  <c r="D25" i="45" s="1"/>
  <c r="D12" i="46"/>
  <c r="D14" i="46" s="1"/>
  <c r="D25" i="46" s="1"/>
  <c r="D12" i="47"/>
  <c r="D14" i="47" s="1"/>
  <c r="D16" i="47" s="1"/>
  <c r="D12" i="49"/>
  <c r="D14" i="49" s="1"/>
  <c r="D25" i="49" s="1"/>
  <c r="D12" i="48"/>
  <c r="D14" i="48" s="1"/>
  <c r="D25" i="48" s="1"/>
  <c r="D12" i="51"/>
  <c r="D14" i="51" s="1"/>
  <c r="D16" i="51" s="1"/>
  <c r="D12" i="50"/>
  <c r="D14" i="50" s="1"/>
  <c r="D25" i="50" s="1"/>
  <c r="D12" i="53"/>
  <c r="D14" i="53" s="1"/>
  <c r="D25" i="53" s="1"/>
  <c r="D16" i="52"/>
  <c r="C7" i="33"/>
  <c r="G7" i="33" s="1"/>
  <c r="C8" i="33"/>
  <c r="BD14" i="4"/>
  <c r="BA22" i="4"/>
  <c r="C5" i="33"/>
  <c r="F14" i="38"/>
  <c r="C14" i="33"/>
  <c r="BK43" i="5"/>
  <c r="BO43" i="5"/>
  <c r="BK8" i="5"/>
  <c r="BO8" i="5"/>
  <c r="BO103" i="5"/>
  <c r="BK103" i="5"/>
  <c r="BK24" i="5"/>
  <c r="BO24" i="5"/>
  <c r="BO31" i="5"/>
  <c r="BK31" i="5"/>
  <c r="BO70" i="5"/>
  <c r="BK70" i="5"/>
  <c r="BK331" i="5"/>
  <c r="BO331" i="5"/>
  <c r="BK143" i="5"/>
  <c r="BO143" i="5"/>
  <c r="BH146" i="5"/>
  <c r="BH350" i="5" s="1"/>
  <c r="BO336" i="5"/>
  <c r="BK336" i="5"/>
  <c r="BK37" i="5"/>
  <c r="BO37" i="5"/>
  <c r="BO324" i="5"/>
  <c r="BK324" i="5"/>
  <c r="BO320" i="5"/>
  <c r="BK320" i="5"/>
  <c r="BK23" i="5"/>
  <c r="BO23" i="5"/>
  <c r="BH147" i="5"/>
  <c r="BH351" i="5" s="1"/>
  <c r="BE25" i="5"/>
  <c r="BH20" i="5"/>
  <c r="L14" i="36"/>
  <c r="L15" i="36" s="1"/>
  <c r="L14" i="38"/>
  <c r="L15" i="38" s="1"/>
  <c r="AV355" i="5"/>
  <c r="AV1" i="5" s="1"/>
  <c r="L15" i="37"/>
  <c r="AY353" i="5"/>
  <c r="O14" i="38" s="1"/>
  <c r="O15" i="38" s="1"/>
  <c r="BE147" i="5"/>
  <c r="BE351" i="5" s="1"/>
  <c r="R13" i="38" s="1"/>
  <c r="BE146" i="5"/>
  <c r="BE350" i="5" s="1"/>
  <c r="R12" i="38" s="1"/>
  <c r="BB205" i="5"/>
  <c r="BE198" i="5"/>
  <c r="BB180" i="5"/>
  <c r="BE176" i="5"/>
  <c r="F7" i="37"/>
  <c r="F7" i="36"/>
  <c r="F7" i="38"/>
  <c r="AP99" i="4"/>
  <c r="F8" i="37"/>
  <c r="F8" i="38"/>
  <c r="F8" i="36"/>
  <c r="F5" i="37"/>
  <c r="F5" i="38"/>
  <c r="F5" i="36"/>
  <c r="F14" i="36"/>
  <c r="F14" i="37"/>
  <c r="AK351" i="5"/>
  <c r="AK350" i="5"/>
  <c r="AL212" i="5"/>
  <c r="AN124" i="4"/>
  <c r="AI233" i="5"/>
  <c r="AI237" i="5"/>
  <c r="AI232" i="5"/>
  <c r="AH167" i="5"/>
  <c r="AN167" i="5" s="1"/>
  <c r="AH136" i="5"/>
  <c r="AN136" i="5" s="1"/>
  <c r="AI343" i="5"/>
  <c r="AI342" i="5"/>
  <c r="AI337" i="5"/>
  <c r="AI333" i="5"/>
  <c r="AI332" i="5"/>
  <c r="AI325" i="5"/>
  <c r="AH324" i="5"/>
  <c r="AH320" i="5"/>
  <c r="AH313" i="5"/>
  <c r="AN313" i="5" s="1"/>
  <c r="AI306" i="5"/>
  <c r="AI307" i="5"/>
  <c r="AI309" i="5"/>
  <c r="AI305" i="5"/>
  <c r="AI300" i="5"/>
  <c r="AI301" i="5"/>
  <c r="AI302" i="5"/>
  <c r="AI303" i="5"/>
  <c r="AI297" i="5"/>
  <c r="AI298" i="5"/>
  <c r="AI299" i="5"/>
  <c r="AC297" i="5"/>
  <c r="AB297" i="5"/>
  <c r="U297" i="5"/>
  <c r="T297" i="5"/>
  <c r="N297" i="5"/>
  <c r="M297" i="5"/>
  <c r="AI281" i="5"/>
  <c r="AI282" i="5"/>
  <c r="AI283" i="5"/>
  <c r="AI285" i="5"/>
  <c r="AI287" i="5"/>
  <c r="AI288" i="5"/>
  <c r="AI289" i="5"/>
  <c r="AI291" i="5"/>
  <c r="AI292" i="5"/>
  <c r="AI293" i="5"/>
  <c r="AI294" i="5"/>
  <c r="AI295" i="5"/>
  <c r="AI296" i="5"/>
  <c r="AI260" i="5"/>
  <c r="AI261" i="5"/>
  <c r="AI262" i="5"/>
  <c r="AI263" i="5"/>
  <c r="AI264" i="5"/>
  <c r="AI259" i="5"/>
  <c r="AI258" i="5"/>
  <c r="AI244" i="5"/>
  <c r="AI245" i="5"/>
  <c r="AI243" i="5"/>
  <c r="AI218" i="5"/>
  <c r="AI220" i="5"/>
  <c r="AI221" i="5"/>
  <c r="AI222" i="5"/>
  <c r="AI223" i="5"/>
  <c r="AI224" i="5"/>
  <c r="AI225" i="5"/>
  <c r="AI227" i="5"/>
  <c r="AH241" i="5"/>
  <c r="AN241" i="5" s="1"/>
  <c r="AI230" i="5"/>
  <c r="AI209" i="5"/>
  <c r="AI207" i="5"/>
  <c r="AI182" i="5"/>
  <c r="AI183" i="5"/>
  <c r="AI184" i="5"/>
  <c r="AI185" i="5"/>
  <c r="AI186" i="5"/>
  <c r="AI187" i="5"/>
  <c r="AI188" i="5"/>
  <c r="AI189" i="5"/>
  <c r="AI191" i="5"/>
  <c r="AI192" i="5"/>
  <c r="AI193" i="5"/>
  <c r="AH204" i="5"/>
  <c r="AN204" i="5" s="1"/>
  <c r="AI195" i="5"/>
  <c r="AI197" i="5"/>
  <c r="AH205" i="5"/>
  <c r="AN205" i="5" s="1"/>
  <c r="AH180" i="5"/>
  <c r="AN180" i="5" s="1"/>
  <c r="AI175" i="5"/>
  <c r="AI172" i="5"/>
  <c r="AI169" i="5"/>
  <c r="AH168" i="5"/>
  <c r="AN168" i="5" s="1"/>
  <c r="AI152" i="5"/>
  <c r="AI153" i="5"/>
  <c r="AI151" i="5"/>
  <c r="AH148" i="5"/>
  <c r="AI143" i="5"/>
  <c r="AI140" i="5"/>
  <c r="AI138" i="5"/>
  <c r="AH137" i="5"/>
  <c r="AI121" i="5"/>
  <c r="AI122" i="5"/>
  <c r="AI123" i="5"/>
  <c r="AH132" i="5"/>
  <c r="AI126" i="5"/>
  <c r="AI127" i="5"/>
  <c r="AI128" i="5"/>
  <c r="AH118" i="5"/>
  <c r="AI110" i="5"/>
  <c r="AI111" i="5"/>
  <c r="AI109" i="5"/>
  <c r="AI102" i="5"/>
  <c r="AI77" i="5"/>
  <c r="AI78" i="5"/>
  <c r="AI80" i="5"/>
  <c r="AI72" i="5"/>
  <c r="AI94" i="5"/>
  <c r="AI92" i="5"/>
  <c r="AI88" i="5"/>
  <c r="AI89" i="5"/>
  <c r="AI90" i="5"/>
  <c r="AI91" i="5"/>
  <c r="AI87" i="5"/>
  <c r="AH70" i="5"/>
  <c r="AI40" i="5"/>
  <c r="AH37" i="5"/>
  <c r="AH31" i="5"/>
  <c r="AN31" i="5" s="1"/>
  <c r="AI20" i="5"/>
  <c r="AI19" i="5"/>
  <c r="AI14" i="5"/>
  <c r="AI13" i="5"/>
  <c r="AE8" i="5"/>
  <c r="AM8" i="5" s="1"/>
  <c r="AI5" i="5"/>
  <c r="AQ105" i="4"/>
  <c r="AQ89" i="4"/>
  <c r="AQ90" i="4"/>
  <c r="AQ92" i="4"/>
  <c r="AQ93" i="4"/>
  <c r="AQ94" i="4"/>
  <c r="AQ97" i="4"/>
  <c r="AQ88" i="4"/>
  <c r="AQ84" i="4"/>
  <c r="AQ71" i="4"/>
  <c r="AQ40" i="4"/>
  <c r="AQ18" i="4"/>
  <c r="AQ25" i="4"/>
  <c r="AQ27" i="4"/>
  <c r="AQ28" i="4"/>
  <c r="AQ29" i="4"/>
  <c r="AQ30" i="4"/>
  <c r="AQ24" i="4"/>
  <c r="AQ21" i="4"/>
  <c r="AQ6" i="4"/>
  <c r="AQ7" i="4"/>
  <c r="AQ8" i="4"/>
  <c r="AQ9" i="4"/>
  <c r="AQ10" i="4"/>
  <c r="AQ11" i="4"/>
  <c r="AQ14" i="4"/>
  <c r="AQ12" i="4"/>
  <c r="AQ13" i="4"/>
  <c r="AQ15" i="4"/>
  <c r="AQ16" i="4"/>
  <c r="AJ84" i="4"/>
  <c r="AH35" i="4"/>
  <c r="AP35" i="4" s="1"/>
  <c r="AH22" i="4"/>
  <c r="AJ21" i="4"/>
  <c r="AJ16" i="4"/>
  <c r="AJ15" i="4"/>
  <c r="AJ11" i="4"/>
  <c r="AJ10" i="4"/>
  <c r="AJ9" i="4"/>
  <c r="AJ8" i="4"/>
  <c r="AJ7" i="4"/>
  <c r="AJ6" i="4"/>
  <c r="AJ5" i="4"/>
  <c r="AF285" i="5"/>
  <c r="AF209" i="5"/>
  <c r="AE212" i="5"/>
  <c r="AM212" i="5" s="1"/>
  <c r="AF195" i="5"/>
  <c r="AF78" i="5"/>
  <c r="AF84" i="4"/>
  <c r="AF90" i="5"/>
  <c r="AF94" i="5"/>
  <c r="AF110" i="5"/>
  <c r="AF113" i="5"/>
  <c r="AF121" i="5"/>
  <c r="AF153" i="5"/>
  <c r="AF192" i="5"/>
  <c r="AF222" i="5"/>
  <c r="AF228" i="5"/>
  <c r="AF244" i="5"/>
  <c r="AF281" i="5"/>
  <c r="AF282" i="5"/>
  <c r="AF287" i="5"/>
  <c r="AF291" i="5"/>
  <c r="AF292" i="5"/>
  <c r="AF294" i="5"/>
  <c r="AF317" i="5"/>
  <c r="AF333" i="5"/>
  <c r="AE347" i="5"/>
  <c r="AM347" i="5" s="1"/>
  <c r="AE336" i="5"/>
  <c r="AM336" i="5" s="1"/>
  <c r="AE331" i="5"/>
  <c r="AM331" i="5" s="1"/>
  <c r="AE324" i="5"/>
  <c r="AM324" i="5" s="1"/>
  <c r="AE320" i="5"/>
  <c r="AM320" i="5" s="1"/>
  <c r="AE313" i="5"/>
  <c r="AM313" i="5" s="1"/>
  <c r="AE312" i="5"/>
  <c r="AM312" i="5" s="1"/>
  <c r="AE311" i="5"/>
  <c r="AM311" i="5" s="1"/>
  <c r="AE278" i="5"/>
  <c r="AM278" i="5" s="1"/>
  <c r="AE247" i="5"/>
  <c r="AM247" i="5" s="1"/>
  <c r="AE242" i="5"/>
  <c r="AM242" i="5" s="1"/>
  <c r="AE241" i="5"/>
  <c r="AM241" i="5" s="1"/>
  <c r="AE240" i="5"/>
  <c r="AM240" i="5" s="1"/>
  <c r="AE205" i="5"/>
  <c r="AM205" i="5" s="1"/>
  <c r="AE204" i="5"/>
  <c r="AM204" i="5" s="1"/>
  <c r="AE203" i="5"/>
  <c r="AM203" i="5" s="1"/>
  <c r="AE180" i="5"/>
  <c r="AM180" i="5" s="1"/>
  <c r="AE179" i="5"/>
  <c r="AM179" i="5" s="1"/>
  <c r="AE168" i="5"/>
  <c r="AM168" i="5" s="1"/>
  <c r="AE167" i="5"/>
  <c r="AM167" i="5" s="1"/>
  <c r="AE156" i="5"/>
  <c r="AM156" i="5" s="1"/>
  <c r="AE155" i="5"/>
  <c r="AM155" i="5" s="1"/>
  <c r="AE148" i="5"/>
  <c r="AM148" i="5" s="1"/>
  <c r="AE147" i="5"/>
  <c r="AM147" i="5" s="1"/>
  <c r="AE146" i="5"/>
  <c r="AM146" i="5" s="1"/>
  <c r="AE137" i="5"/>
  <c r="AM137" i="5" s="1"/>
  <c r="AE136" i="5"/>
  <c r="AM136" i="5" s="1"/>
  <c r="AE132" i="5"/>
  <c r="AM132" i="5" s="1"/>
  <c r="AE131" i="5"/>
  <c r="AM131" i="5" s="1"/>
  <c r="AE118" i="5"/>
  <c r="AM118" i="5" s="1"/>
  <c r="AE117" i="5"/>
  <c r="AM117" i="5" s="1"/>
  <c r="AE103" i="5"/>
  <c r="AM103" i="5" s="1"/>
  <c r="AE97" i="5"/>
  <c r="AM97" i="5" s="1"/>
  <c r="AE96" i="5"/>
  <c r="AM96" i="5" s="1"/>
  <c r="AE84" i="5"/>
  <c r="AM84" i="5" s="1"/>
  <c r="AE70" i="5"/>
  <c r="AM70" i="5" s="1"/>
  <c r="AE43" i="5"/>
  <c r="AM43" i="5" s="1"/>
  <c r="AE37" i="5"/>
  <c r="AM37" i="5" s="1"/>
  <c r="AE31" i="5"/>
  <c r="AM31" i="5" s="1"/>
  <c r="AE25" i="5"/>
  <c r="AM25" i="5" s="1"/>
  <c r="AE24" i="5"/>
  <c r="AM24" i="5" s="1"/>
  <c r="AE23" i="5"/>
  <c r="AM23" i="5" s="1"/>
  <c r="AF6" i="4"/>
  <c r="AF7" i="4"/>
  <c r="AF8" i="4"/>
  <c r="AF9" i="4"/>
  <c r="AF10" i="4"/>
  <c r="AF11" i="4"/>
  <c r="AF15" i="4"/>
  <c r="AF16" i="4"/>
  <c r="AF21" i="4"/>
  <c r="AF5" i="4"/>
  <c r="AD122" i="4"/>
  <c r="AD99" i="4"/>
  <c r="AD35" i="4"/>
  <c r="AD22" i="4"/>
  <c r="AB343" i="5"/>
  <c r="AB342" i="5"/>
  <c r="AB337" i="5"/>
  <c r="AB332" i="5"/>
  <c r="Y331" i="5"/>
  <c r="AA331" i="5"/>
  <c r="AA324" i="5"/>
  <c r="AA320" i="5"/>
  <c r="AA311" i="5"/>
  <c r="Y311" i="5"/>
  <c r="AA278" i="5"/>
  <c r="Y278" i="5"/>
  <c r="AA247" i="5"/>
  <c r="Y247" i="5"/>
  <c r="AA240" i="5"/>
  <c r="AA212" i="5"/>
  <c r="Y203" i="5"/>
  <c r="AA203" i="5"/>
  <c r="AA179" i="5"/>
  <c r="Y179" i="5"/>
  <c r="AA167" i="5"/>
  <c r="AA155" i="5"/>
  <c r="Y155" i="5"/>
  <c r="AA146" i="5"/>
  <c r="AC144" i="5"/>
  <c r="AB144" i="5"/>
  <c r="AB143" i="5"/>
  <c r="AA147" i="5"/>
  <c r="Y146" i="5"/>
  <c r="AA137" i="5"/>
  <c r="AA136" i="5"/>
  <c r="Y136" i="5"/>
  <c r="AA131" i="5"/>
  <c r="Y131" i="5"/>
  <c r="AA117" i="5"/>
  <c r="Y117" i="5"/>
  <c r="AA103" i="5"/>
  <c r="AA84" i="5"/>
  <c r="Y84" i="5"/>
  <c r="AA70" i="5"/>
  <c r="AA43" i="5"/>
  <c r="AA37" i="5"/>
  <c r="AA31" i="5"/>
  <c r="AA23" i="5"/>
  <c r="Y23" i="5"/>
  <c r="Y24" i="5"/>
  <c r="Y25" i="5"/>
  <c r="Y118" i="5"/>
  <c r="AA8" i="5"/>
  <c r="D16" i="53" l="1"/>
  <c r="D25" i="47"/>
  <c r="D16" i="46"/>
  <c r="D16" i="45"/>
  <c r="D16" i="49"/>
  <c r="D16" i="50"/>
  <c r="D16" i="48"/>
  <c r="D25" i="51"/>
  <c r="BG14" i="4"/>
  <c r="BD22" i="4"/>
  <c r="I5" i="37"/>
  <c r="I9" i="37" s="1"/>
  <c r="I5" i="38"/>
  <c r="I9" i="38" s="1"/>
  <c r="I5" i="36"/>
  <c r="I9" i="36" s="1"/>
  <c r="BA124" i="4"/>
  <c r="BA1" i="4" s="1"/>
  <c r="C13" i="33"/>
  <c r="C12" i="33"/>
  <c r="D13" i="33"/>
  <c r="BO351" i="5"/>
  <c r="BK351" i="5"/>
  <c r="BO20" i="5"/>
  <c r="BH25" i="5"/>
  <c r="BO147" i="5"/>
  <c r="BK147" i="5"/>
  <c r="D12" i="33"/>
  <c r="BO350" i="5"/>
  <c r="BK350" i="5"/>
  <c r="BK146" i="5"/>
  <c r="BO146" i="5"/>
  <c r="BE180" i="5"/>
  <c r="BH176" i="5"/>
  <c r="BE205" i="5"/>
  <c r="BH198" i="5"/>
  <c r="AY355" i="5"/>
  <c r="AY1" i="5" s="1"/>
  <c r="O14" i="37"/>
  <c r="O15" i="37" s="1"/>
  <c r="AL99" i="4"/>
  <c r="AQ86" i="4"/>
  <c r="AQ5" i="4"/>
  <c r="AL126" i="4"/>
  <c r="AQ126" i="4" s="1"/>
  <c r="AL122" i="4"/>
  <c r="E6" i="36" s="1"/>
  <c r="F9" i="36"/>
  <c r="BB353" i="5"/>
  <c r="BB355" i="5" s="1"/>
  <c r="BB1" i="5" s="1"/>
  <c r="F12" i="37"/>
  <c r="F15" i="37" s="1"/>
  <c r="F12" i="38"/>
  <c r="F15" i="38" s="1"/>
  <c r="F13" i="37"/>
  <c r="F13" i="38"/>
  <c r="AD124" i="4"/>
  <c r="D8" i="38"/>
  <c r="D8" i="37"/>
  <c r="D8" i="36"/>
  <c r="D5" i="38"/>
  <c r="D5" i="37"/>
  <c r="D5" i="36"/>
  <c r="H6" i="33"/>
  <c r="F9" i="33"/>
  <c r="F9" i="37"/>
  <c r="AP22" i="4"/>
  <c r="F9" i="38"/>
  <c r="F12" i="36"/>
  <c r="F15" i="36" s="1"/>
  <c r="F13" i="36"/>
  <c r="AI217" i="5"/>
  <c r="AH240" i="5"/>
  <c r="F15" i="33"/>
  <c r="AF359" i="5"/>
  <c r="AI313" i="5"/>
  <c r="AI136" i="5"/>
  <c r="AH212" i="5"/>
  <c r="AN212" i="5" s="1"/>
  <c r="AH311" i="5"/>
  <c r="AI311" i="5" s="1"/>
  <c r="AH23" i="5"/>
  <c r="AN23" i="5" s="1"/>
  <c r="AH96" i="5"/>
  <c r="AN96" i="5" s="1"/>
  <c r="AH312" i="5"/>
  <c r="AH156" i="5"/>
  <c r="AN156" i="5" s="1"/>
  <c r="AH155" i="5"/>
  <c r="AN155" i="5" s="1"/>
  <c r="AI48" i="5"/>
  <c r="AI125" i="5"/>
  <c r="AI321" i="5"/>
  <c r="AH25" i="5"/>
  <c r="AN25" i="5" s="1"/>
  <c r="AI32" i="5"/>
  <c r="AI205" i="5"/>
  <c r="AH336" i="5"/>
  <c r="AN336" i="5" s="1"/>
  <c r="AI149" i="5"/>
  <c r="AN137" i="5"/>
  <c r="AI137" i="5"/>
  <c r="AN132" i="5"/>
  <c r="AI132" i="5"/>
  <c r="AN118" i="5"/>
  <c r="AI118" i="5"/>
  <c r="AN70" i="5"/>
  <c r="AI70" i="5"/>
  <c r="AN324" i="5"/>
  <c r="AI324" i="5"/>
  <c r="AN148" i="5"/>
  <c r="AI148" i="5"/>
  <c r="AN320" i="5"/>
  <c r="AI320" i="5"/>
  <c r="AN37" i="5"/>
  <c r="AI37" i="5"/>
  <c r="AH84" i="5"/>
  <c r="AH179" i="5"/>
  <c r="AH331" i="5"/>
  <c r="AH347" i="5"/>
  <c r="AH24" i="5"/>
  <c r="AH103" i="5"/>
  <c r="AH147" i="5"/>
  <c r="AI31" i="5"/>
  <c r="AI86" i="5"/>
  <c r="AI204" i="5"/>
  <c r="AI144" i="5"/>
  <c r="AI241" i="5"/>
  <c r="AH203" i="5"/>
  <c r="AH43" i="5"/>
  <c r="AH97" i="5"/>
  <c r="AH131" i="5"/>
  <c r="AH146" i="5"/>
  <c r="AH247" i="5"/>
  <c r="AI26" i="5"/>
  <c r="AI113" i="5"/>
  <c r="AI134" i="5"/>
  <c r="AI181" i="5"/>
  <c r="AI194" i="5"/>
  <c r="AI208" i="5"/>
  <c r="AI228" i="5"/>
  <c r="AI279" i="5"/>
  <c r="AI317" i="5"/>
  <c r="AH117" i="5"/>
  <c r="AH8" i="5"/>
  <c r="AI198" i="5"/>
  <c r="AK355" i="5"/>
  <c r="AH242" i="5"/>
  <c r="AL35" i="4"/>
  <c r="AL22" i="4"/>
  <c r="AJ125" i="4"/>
  <c r="AH124" i="4"/>
  <c r="AF125" i="4"/>
  <c r="AE353" i="5"/>
  <c r="AE351" i="5"/>
  <c r="AE350" i="5"/>
  <c r="AB325" i="5"/>
  <c r="AB331" i="5" s="1"/>
  <c r="AB321" i="5"/>
  <c r="AB324" i="5" s="1"/>
  <c r="AB317" i="5"/>
  <c r="AB320" i="5" s="1"/>
  <c r="AB310" i="5"/>
  <c r="AB313" i="5" s="1"/>
  <c r="AB309" i="5"/>
  <c r="AB307" i="5"/>
  <c r="AB306" i="5"/>
  <c r="AB305" i="5"/>
  <c r="AB304" i="5"/>
  <c r="AB303" i="5"/>
  <c r="AB302" i="5"/>
  <c r="AB301" i="5"/>
  <c r="AB300" i="5"/>
  <c r="AB312" i="5" s="1"/>
  <c r="AB299" i="5"/>
  <c r="AB298" i="5"/>
  <c r="AB296" i="5"/>
  <c r="AB295" i="5"/>
  <c r="AB294" i="5"/>
  <c r="AB293" i="5"/>
  <c r="AB292" i="5"/>
  <c r="AB291" i="5"/>
  <c r="AB289" i="5"/>
  <c r="AB288" i="5"/>
  <c r="AB287" i="5"/>
  <c r="AB286" i="5"/>
  <c r="AB284" i="5"/>
  <c r="AB283" i="5"/>
  <c r="AB282" i="5"/>
  <c r="AB281" i="5"/>
  <c r="AB280" i="5"/>
  <c r="AB279" i="5"/>
  <c r="AB264" i="5"/>
  <c r="AB263" i="5"/>
  <c r="AB262" i="5"/>
  <c r="AB261" i="5"/>
  <c r="AB260" i="5"/>
  <c r="AB259" i="5"/>
  <c r="AB258" i="5"/>
  <c r="AB245" i="5"/>
  <c r="AB244" i="5"/>
  <c r="AB243" i="5"/>
  <c r="AB237" i="5"/>
  <c r="AB235" i="5"/>
  <c r="AB233" i="5"/>
  <c r="AB232" i="5"/>
  <c r="AB231" i="5"/>
  <c r="AB230" i="5"/>
  <c r="AB229" i="5"/>
  <c r="AB228" i="5"/>
  <c r="AB241" i="5" s="1"/>
  <c r="AB227" i="5"/>
  <c r="AB226" i="5"/>
  <c r="AB225" i="5"/>
  <c r="AB224" i="5"/>
  <c r="AB223" i="5"/>
  <c r="AB222" i="5"/>
  <c r="AB221" i="5"/>
  <c r="AB218" i="5"/>
  <c r="AB217" i="5"/>
  <c r="AB208" i="5"/>
  <c r="AB207" i="5"/>
  <c r="AB206" i="5"/>
  <c r="AB198" i="5"/>
  <c r="AB205" i="5" s="1"/>
  <c r="AB197" i="5"/>
  <c r="AB194" i="5"/>
  <c r="AB204" i="5" s="1"/>
  <c r="AB193" i="5"/>
  <c r="AB192" i="5"/>
  <c r="AB191" i="5"/>
  <c r="AB189" i="5"/>
  <c r="AB188" i="5"/>
  <c r="AB187" i="5"/>
  <c r="AB186" i="5"/>
  <c r="AB185" i="5"/>
  <c r="AB184" i="5"/>
  <c r="AB183" i="5"/>
  <c r="AB182" i="5"/>
  <c r="AB181" i="5"/>
  <c r="AB176" i="5"/>
  <c r="AB180" i="5" s="1"/>
  <c r="AB175" i="5"/>
  <c r="AB172" i="5"/>
  <c r="AB169" i="5"/>
  <c r="AB153" i="5"/>
  <c r="AB156" i="5" s="1"/>
  <c r="AB152" i="5"/>
  <c r="AB151" i="5"/>
  <c r="AB150" i="5"/>
  <c r="AB149" i="5"/>
  <c r="AB140" i="5"/>
  <c r="AB138" i="5"/>
  <c r="AB134" i="5"/>
  <c r="AB137" i="5" s="1"/>
  <c r="AB128" i="5"/>
  <c r="AB127" i="5"/>
  <c r="AB126" i="5"/>
  <c r="AB125" i="5"/>
  <c r="AB132" i="5" s="1"/>
  <c r="AB124" i="5"/>
  <c r="AB123" i="5"/>
  <c r="AB122" i="5"/>
  <c r="AB121" i="5"/>
  <c r="AB120" i="5"/>
  <c r="AB113" i="5"/>
  <c r="AB118" i="5" s="1"/>
  <c r="AB111" i="5"/>
  <c r="AB110" i="5"/>
  <c r="AB109" i="5"/>
  <c r="AB102" i="5"/>
  <c r="AB103" i="5" s="1"/>
  <c r="AB95" i="5"/>
  <c r="AB94" i="5"/>
  <c r="AB97" i="5" s="1"/>
  <c r="AB93" i="5"/>
  <c r="AB91" i="5"/>
  <c r="AB90" i="5"/>
  <c r="AB89" i="5"/>
  <c r="AB88" i="5"/>
  <c r="AB87" i="5"/>
  <c r="AB86" i="5"/>
  <c r="AB80" i="5"/>
  <c r="AB78" i="5"/>
  <c r="AB77" i="5"/>
  <c r="AB76" i="5"/>
  <c r="AB75" i="5"/>
  <c r="AB72" i="5"/>
  <c r="AB48" i="5"/>
  <c r="AB70" i="5" s="1"/>
  <c r="AB40" i="5"/>
  <c r="AB43" i="5" s="1"/>
  <c r="AB32" i="5"/>
  <c r="AB37" i="5" s="1"/>
  <c r="AB26" i="5"/>
  <c r="AB31" i="5" s="1"/>
  <c r="AB20" i="5"/>
  <c r="AB19" i="5"/>
  <c r="AB18" i="5"/>
  <c r="AB17" i="5"/>
  <c r="AB14" i="5"/>
  <c r="AB13" i="5"/>
  <c r="AB5" i="5"/>
  <c r="AB8" i="5" s="1"/>
  <c r="AB347" i="5"/>
  <c r="AB336" i="5"/>
  <c r="AB168" i="5"/>
  <c r="AB167" i="5"/>
  <c r="AB148" i="5"/>
  <c r="AB147" i="5"/>
  <c r="AB136" i="5"/>
  <c r="AC237" i="5"/>
  <c r="AC206" i="5"/>
  <c r="AC192" i="5"/>
  <c r="AC150" i="5"/>
  <c r="AC120" i="5"/>
  <c r="AB105" i="4"/>
  <c r="AB97" i="4"/>
  <c r="AB94" i="4"/>
  <c r="AB93" i="4"/>
  <c r="AB92" i="4"/>
  <c r="AB90" i="4"/>
  <c r="AB89" i="4"/>
  <c r="AB88" i="4"/>
  <c r="AB86" i="4"/>
  <c r="AB84" i="4"/>
  <c r="AB75" i="4"/>
  <c r="AB71" i="4"/>
  <c r="AB66" i="4"/>
  <c r="AB40" i="4"/>
  <c r="AB37" i="4"/>
  <c r="AB30" i="4"/>
  <c r="AB29" i="4"/>
  <c r="AB28" i="4"/>
  <c r="AB25" i="4"/>
  <c r="AC343" i="5"/>
  <c r="AC342" i="5"/>
  <c r="AC337" i="5"/>
  <c r="AC332" i="5"/>
  <c r="AC325" i="5"/>
  <c r="AC321" i="5"/>
  <c r="AC317" i="5"/>
  <c r="AC310" i="5"/>
  <c r="AC309" i="5"/>
  <c r="AC307" i="5"/>
  <c r="AC306" i="5"/>
  <c r="AC305" i="5"/>
  <c r="AC304" i="5"/>
  <c r="AC303" i="5"/>
  <c r="AC302" i="5"/>
  <c r="AC301" i="5"/>
  <c r="AC300" i="5"/>
  <c r="AC299" i="5"/>
  <c r="AC298" i="5"/>
  <c r="AC296" i="5"/>
  <c r="AC295" i="5"/>
  <c r="AC294" i="5"/>
  <c r="AC293" i="5"/>
  <c r="AC292" i="5"/>
  <c r="AC291" i="5"/>
  <c r="AC289" i="5"/>
  <c r="AC288" i="5"/>
  <c r="AC287" i="5"/>
  <c r="AC286" i="5"/>
  <c r="AC284" i="5"/>
  <c r="AC283" i="5"/>
  <c r="AC282" i="5"/>
  <c r="AC281" i="5"/>
  <c r="AC280" i="5"/>
  <c r="AC279" i="5"/>
  <c r="AC264" i="5"/>
  <c r="AC263" i="5"/>
  <c r="AC262" i="5"/>
  <c r="AC261" i="5"/>
  <c r="AC260" i="5"/>
  <c r="AC259" i="5"/>
  <c r="AC258" i="5"/>
  <c r="AC245" i="5"/>
  <c r="AC244" i="5"/>
  <c r="AC243" i="5"/>
  <c r="AC231" i="5"/>
  <c r="AC235" i="5"/>
  <c r="AC233" i="5"/>
  <c r="AC232" i="5"/>
  <c r="AC230" i="5"/>
  <c r="AC229" i="5"/>
  <c r="AC228" i="5"/>
  <c r="AC227" i="5"/>
  <c r="AC226" i="5"/>
  <c r="AC225" i="5"/>
  <c r="AC224" i="5"/>
  <c r="AC223" i="5"/>
  <c r="AC222" i="5"/>
  <c r="AC221" i="5"/>
  <c r="AC218" i="5"/>
  <c r="AC217" i="5"/>
  <c r="AC208" i="5"/>
  <c r="AC207" i="5"/>
  <c r="AC198" i="5"/>
  <c r="AC197" i="5"/>
  <c r="AC194" i="5"/>
  <c r="AC193" i="5"/>
  <c r="AC191" i="5"/>
  <c r="AC189" i="5"/>
  <c r="AC188" i="5"/>
  <c r="AC187" i="5"/>
  <c r="AC186" i="5"/>
  <c r="AC185" i="5"/>
  <c r="AC184" i="5"/>
  <c r="AC183" i="5"/>
  <c r="AC182" i="5"/>
  <c r="AC181" i="5"/>
  <c r="AC175" i="5"/>
  <c r="AC172" i="5"/>
  <c r="AC169" i="5"/>
  <c r="AC162" i="5"/>
  <c r="AC153" i="5"/>
  <c r="AC152" i="5"/>
  <c r="AC151" i="5"/>
  <c r="AC149" i="5"/>
  <c r="AC143" i="5"/>
  <c r="AC140" i="5"/>
  <c r="AC138" i="5"/>
  <c r="AC134" i="5"/>
  <c r="AC128" i="5"/>
  <c r="AC127" i="5"/>
  <c r="AC126" i="5"/>
  <c r="AC125" i="5"/>
  <c r="AC124" i="5"/>
  <c r="AC123" i="5"/>
  <c r="AC122" i="5"/>
  <c r="AC121" i="5"/>
  <c r="AC113" i="5"/>
  <c r="AC111" i="5"/>
  <c r="AC110" i="5"/>
  <c r="AC109" i="5"/>
  <c r="AC102" i="5"/>
  <c r="AC95" i="5"/>
  <c r="AC94" i="5"/>
  <c r="AC93" i="5"/>
  <c r="AC91" i="5"/>
  <c r="AC90" i="5"/>
  <c r="AC89" i="5"/>
  <c r="AC88" i="5"/>
  <c r="AC87" i="5"/>
  <c r="AC86" i="5"/>
  <c r="AC80" i="5"/>
  <c r="AC78" i="5"/>
  <c r="AC77" i="5"/>
  <c r="AC76" i="5"/>
  <c r="AC75" i="5"/>
  <c r="AC72" i="5"/>
  <c r="AC48" i="5"/>
  <c r="AC40" i="5"/>
  <c r="AC32" i="5"/>
  <c r="AC26" i="5"/>
  <c r="AC20" i="5"/>
  <c r="AC19" i="5"/>
  <c r="AC18" i="5"/>
  <c r="AC17" i="5"/>
  <c r="AC14" i="5"/>
  <c r="AC13" i="5"/>
  <c r="AC5" i="5"/>
  <c r="Z122" i="4"/>
  <c r="AB25" i="5" l="1"/>
  <c r="BJ14" i="4"/>
  <c r="BG22" i="4"/>
  <c r="I17" i="37"/>
  <c r="I25" i="37"/>
  <c r="I25" i="38"/>
  <c r="I17" i="38"/>
  <c r="BD124" i="4"/>
  <c r="BD1" i="4" s="1"/>
  <c r="L5" i="38"/>
  <c r="L9" i="38" s="1"/>
  <c r="L5" i="36"/>
  <c r="L9" i="36" s="1"/>
  <c r="L5" i="37"/>
  <c r="L9" i="37" s="1"/>
  <c r="I17" i="36"/>
  <c r="I25" i="36"/>
  <c r="D9" i="38"/>
  <c r="AJ124" i="4"/>
  <c r="AH1" i="5"/>
  <c r="BH205" i="5"/>
  <c r="BK198" i="5"/>
  <c r="BO198" i="5"/>
  <c r="BK25" i="5"/>
  <c r="BO25" i="5"/>
  <c r="BH180" i="5"/>
  <c r="BO176" i="5"/>
  <c r="BE353" i="5"/>
  <c r="R14" i="38" s="1"/>
  <c r="R15" i="38" s="1"/>
  <c r="E7" i="38"/>
  <c r="E7" i="36"/>
  <c r="E7" i="37"/>
  <c r="H7" i="33"/>
  <c r="AQ99" i="4"/>
  <c r="E6" i="37"/>
  <c r="AQ122" i="4"/>
  <c r="E6" i="38"/>
  <c r="F25" i="37"/>
  <c r="D12" i="36"/>
  <c r="D12" i="38"/>
  <c r="D12" i="37"/>
  <c r="F17" i="37"/>
  <c r="D14" i="38"/>
  <c r="D14" i="37"/>
  <c r="D13" i="38"/>
  <c r="D13" i="37"/>
  <c r="F17" i="38"/>
  <c r="F25" i="38"/>
  <c r="AP124" i="4"/>
  <c r="E8" i="37"/>
  <c r="E8" i="38"/>
  <c r="E8" i="36"/>
  <c r="H8" i="33"/>
  <c r="AQ35" i="4"/>
  <c r="D9" i="37"/>
  <c r="E5" i="37"/>
  <c r="E5" i="36"/>
  <c r="E5" i="38"/>
  <c r="AQ22" i="4"/>
  <c r="AL124" i="4"/>
  <c r="AQ124" i="4" s="1"/>
  <c r="D9" i="36"/>
  <c r="D13" i="36"/>
  <c r="F17" i="36"/>
  <c r="F25" i="36"/>
  <c r="D14" i="36"/>
  <c r="F17" i="33"/>
  <c r="AI96" i="5"/>
  <c r="AI336" i="5"/>
  <c r="AE355" i="5"/>
  <c r="AM355" i="5" s="1"/>
  <c r="AM353" i="5"/>
  <c r="AM351" i="5"/>
  <c r="AM350" i="5"/>
  <c r="AI25" i="5"/>
  <c r="AI155" i="5"/>
  <c r="AI212" i="5"/>
  <c r="AI156" i="5"/>
  <c r="AN311" i="5"/>
  <c r="AI23" i="5"/>
  <c r="AN312" i="5"/>
  <c r="AI312" i="5"/>
  <c r="AH350" i="5"/>
  <c r="AN240" i="5"/>
  <c r="AI240" i="5"/>
  <c r="AN247" i="5"/>
  <c r="AI247" i="5"/>
  <c r="AN97" i="5"/>
  <c r="AI97" i="5"/>
  <c r="AN347" i="5"/>
  <c r="AI347" i="5"/>
  <c r="AN8" i="5"/>
  <c r="AI8" i="5"/>
  <c r="AN146" i="5"/>
  <c r="AI146" i="5"/>
  <c r="AN203" i="5"/>
  <c r="AI203" i="5"/>
  <c r="AN103" i="5"/>
  <c r="AI103" i="5"/>
  <c r="AN331" i="5"/>
  <c r="AI331" i="5"/>
  <c r="AN43" i="5"/>
  <c r="AI43" i="5"/>
  <c r="AN147" i="5"/>
  <c r="AI147" i="5"/>
  <c r="AH353" i="5"/>
  <c r="E14" i="38" s="1"/>
  <c r="AN242" i="5"/>
  <c r="AI242" i="5"/>
  <c r="AN278" i="5"/>
  <c r="AI278" i="5"/>
  <c r="AN84" i="5"/>
  <c r="AI84" i="5"/>
  <c r="AN117" i="5"/>
  <c r="AI117" i="5"/>
  <c r="AN131" i="5"/>
  <c r="AI131" i="5"/>
  <c r="AN24" i="5"/>
  <c r="AI24" i="5"/>
  <c r="AH351" i="5"/>
  <c r="E13" i="38" s="1"/>
  <c r="AN179" i="5"/>
  <c r="AI179" i="5"/>
  <c r="AB117" i="5"/>
  <c r="AB155" i="5"/>
  <c r="AB212" i="5"/>
  <c r="AB23" i="5"/>
  <c r="AB146" i="5"/>
  <c r="AB203" i="5"/>
  <c r="AB131" i="5"/>
  <c r="AB278" i="5"/>
  <c r="AB84" i="5"/>
  <c r="AB311" i="5"/>
  <c r="AB242" i="5"/>
  <c r="AB24" i="5"/>
  <c r="AB351" i="5" s="1"/>
  <c r="AB247" i="5"/>
  <c r="AB96" i="5"/>
  <c r="AB179" i="5"/>
  <c r="AB353" i="5" l="1"/>
  <c r="BM14" i="4"/>
  <c r="BJ22" i="4"/>
  <c r="L25" i="36"/>
  <c r="L17" i="36"/>
  <c r="L17" i="37"/>
  <c r="L25" i="37"/>
  <c r="L17" i="38"/>
  <c r="L25" i="38"/>
  <c r="O5" i="37"/>
  <c r="O9" i="37" s="1"/>
  <c r="BG124" i="4"/>
  <c r="BG1" i="4" s="1"/>
  <c r="O5" i="38"/>
  <c r="O9" i="38" s="1"/>
  <c r="E12" i="38"/>
  <c r="E15" i="38" s="1"/>
  <c r="BK205" i="5"/>
  <c r="BO205" i="5"/>
  <c r="BH353" i="5"/>
  <c r="BO180" i="5"/>
  <c r="BK180" i="5"/>
  <c r="BE355" i="5"/>
  <c r="BE1" i="5" s="1"/>
  <c r="D15" i="36"/>
  <c r="D25" i="36" s="1"/>
  <c r="E9" i="37"/>
  <c r="H7" i="14"/>
  <c r="H6" i="14"/>
  <c r="E9" i="36"/>
  <c r="D15" i="38"/>
  <c r="D25" i="38" s="1"/>
  <c r="D15" i="37"/>
  <c r="D25" i="37" s="1"/>
  <c r="E9" i="33"/>
  <c r="H9" i="33" s="1"/>
  <c r="H5" i="33"/>
  <c r="H5" i="14"/>
  <c r="H8" i="14"/>
  <c r="E9" i="38"/>
  <c r="E14" i="36"/>
  <c r="E14" i="37"/>
  <c r="E13" i="36"/>
  <c r="E13" i="37"/>
  <c r="E12" i="36"/>
  <c r="E12" i="37"/>
  <c r="H14" i="33"/>
  <c r="H13" i="33"/>
  <c r="H12" i="33"/>
  <c r="AH355" i="5"/>
  <c r="AI355" i="5" s="1"/>
  <c r="AN353" i="5"/>
  <c r="AI353" i="5"/>
  <c r="AN351" i="5"/>
  <c r="AI351" i="5"/>
  <c r="AN350" i="5"/>
  <c r="AI350" i="5"/>
  <c r="AA24" i="5"/>
  <c r="AA347" i="5"/>
  <c r="AA336" i="5"/>
  <c r="AA313" i="5"/>
  <c r="AA312" i="5"/>
  <c r="AA242" i="5"/>
  <c r="AA241" i="5"/>
  <c r="AA205" i="5"/>
  <c r="AA204" i="5"/>
  <c r="AA180" i="5"/>
  <c r="AA168" i="5"/>
  <c r="AA156" i="5"/>
  <c r="AA148" i="5"/>
  <c r="AA132" i="5"/>
  <c r="AA118" i="5"/>
  <c r="AA97" i="5"/>
  <c r="AA96" i="5"/>
  <c r="Z31" i="5"/>
  <c r="Z23" i="5"/>
  <c r="Z24" i="5"/>
  <c r="Z25" i="5"/>
  <c r="AA25" i="5"/>
  <c r="Z8" i="5"/>
  <c r="Z99" i="4"/>
  <c r="X122" i="4"/>
  <c r="Z35" i="4"/>
  <c r="Z22" i="4"/>
  <c r="S311" i="5"/>
  <c r="S167" i="5"/>
  <c r="S146" i="5"/>
  <c r="Q146" i="5"/>
  <c r="R146" i="5"/>
  <c r="L205" i="5"/>
  <c r="AL205" i="5" s="1"/>
  <c r="Q203" i="5"/>
  <c r="S203" i="5"/>
  <c r="Y204" i="5"/>
  <c r="S31" i="5"/>
  <c r="Q31" i="5"/>
  <c r="Y31" i="5"/>
  <c r="Y313" i="5"/>
  <c r="O17" i="37" l="1"/>
  <c r="O25" i="37"/>
  <c r="R5" i="38"/>
  <c r="R9" i="38" s="1"/>
  <c r="BM22" i="4"/>
  <c r="BJ124" i="4"/>
  <c r="O25" i="38"/>
  <c r="O17" i="38"/>
  <c r="E15" i="36"/>
  <c r="E17" i="36" s="1"/>
  <c r="E21" i="36" s="1"/>
  <c r="E23" i="36" s="1"/>
  <c r="E25" i="36" s="1"/>
  <c r="BO353" i="5"/>
  <c r="BK353" i="5"/>
  <c r="BH355" i="5"/>
  <c r="E15" i="37"/>
  <c r="E17" i="37" s="1"/>
  <c r="E21" i="37" s="1"/>
  <c r="E23" i="37" s="1"/>
  <c r="E25" i="37" s="1"/>
  <c r="D17" i="37"/>
  <c r="D17" i="38"/>
  <c r="D17" i="36"/>
  <c r="E17" i="38"/>
  <c r="E21" i="38" s="1"/>
  <c r="E23" i="38" s="1"/>
  <c r="E25" i="38" s="1"/>
  <c r="E15" i="33"/>
  <c r="E17" i="33" s="1"/>
  <c r="H12" i="14"/>
  <c r="H13" i="14"/>
  <c r="AN355" i="5"/>
  <c r="AA353" i="5"/>
  <c r="Z124" i="4"/>
  <c r="AF124" i="4" s="1"/>
  <c r="AA351" i="5"/>
  <c r="AA350" i="5"/>
  <c r="Y205" i="5"/>
  <c r="T128" i="5"/>
  <c r="U128" i="5"/>
  <c r="X99" i="4"/>
  <c r="Y347" i="5"/>
  <c r="Y336" i="5"/>
  <c r="Y324" i="5"/>
  <c r="Y320" i="5"/>
  <c r="Y312" i="5"/>
  <c r="Y242" i="5"/>
  <c r="Y241" i="5"/>
  <c r="Y220" i="5"/>
  <c r="Y212" i="5"/>
  <c r="Y180" i="5"/>
  <c r="Y168" i="5"/>
  <c r="Y167" i="5"/>
  <c r="Y156" i="5"/>
  <c r="Y148" i="5"/>
  <c r="Y147" i="5"/>
  <c r="Y137" i="5"/>
  <c r="Y132" i="5"/>
  <c r="Y103" i="5"/>
  <c r="Y97" i="5"/>
  <c r="Y96" i="5"/>
  <c r="Y70" i="5"/>
  <c r="Y43" i="5"/>
  <c r="Y37" i="5"/>
  <c r="Y8" i="5"/>
  <c r="X27" i="4"/>
  <c r="AB27" i="4" s="1"/>
  <c r="X24" i="4"/>
  <c r="AB24" i="4" s="1"/>
  <c r="X6" i="4"/>
  <c r="AB6" i="4" s="1"/>
  <c r="X7" i="4"/>
  <c r="AB7" i="4" s="1"/>
  <c r="X8" i="4"/>
  <c r="AB8" i="4" s="1"/>
  <c r="X9" i="4"/>
  <c r="AB9" i="4" s="1"/>
  <c r="X10" i="4"/>
  <c r="AB10" i="4" s="1"/>
  <c r="X11" i="4"/>
  <c r="AB11" i="4" s="1"/>
  <c r="X14" i="4"/>
  <c r="AB14" i="4" s="1"/>
  <c r="X12" i="4"/>
  <c r="AB12" i="4" s="1"/>
  <c r="X13" i="4"/>
  <c r="AB13" i="4" s="1"/>
  <c r="X15" i="4"/>
  <c r="AB15" i="4" s="1"/>
  <c r="X16" i="4"/>
  <c r="AB16" i="4" s="1"/>
  <c r="X21" i="4"/>
  <c r="AB21" i="4" s="1"/>
  <c r="BM124" i="4" l="1"/>
  <c r="BJ1" i="4"/>
  <c r="D5" i="33"/>
  <c r="D9" i="33" s="1"/>
  <c r="D9" i="14"/>
  <c r="R17" i="38"/>
  <c r="R21" i="38" s="1"/>
  <c r="R23" i="38" s="1"/>
  <c r="R25" i="38" s="1"/>
  <c r="D14" i="33"/>
  <c r="D15" i="33" s="1"/>
  <c r="D14" i="14"/>
  <c r="BK355" i="5"/>
  <c r="BO355" i="5"/>
  <c r="BH1" i="5"/>
  <c r="H15" i="33"/>
  <c r="Y351" i="5"/>
  <c r="Y240" i="5"/>
  <c r="Y350" i="5" s="1"/>
  <c r="AB220" i="5"/>
  <c r="AB240" i="5" s="1"/>
  <c r="AB350" i="5" s="1"/>
  <c r="AB355" i="5" s="1"/>
  <c r="AC220" i="5"/>
  <c r="AC359" i="5" s="1"/>
  <c r="X35" i="4"/>
  <c r="AA355" i="5"/>
  <c r="AF355" i="5" s="1"/>
  <c r="Y353" i="5"/>
  <c r="D17" i="33" l="1"/>
  <c r="D16" i="14"/>
  <c r="Y355" i="5"/>
  <c r="Y1" i="5" s="1"/>
  <c r="AA1" i="5" s="1"/>
  <c r="U35" i="4"/>
  <c r="S220" i="5"/>
  <c r="D25" i="14" l="1"/>
  <c r="D21" i="33"/>
  <c r="D23" i="33" s="1"/>
  <c r="D25" i="33" s="1"/>
  <c r="V6" i="4"/>
  <c r="V7" i="4"/>
  <c r="V8" i="4"/>
  <c r="V9" i="4"/>
  <c r="V10" i="4"/>
  <c r="V11" i="4"/>
  <c r="V14" i="4"/>
  <c r="V12" i="4"/>
  <c r="V13" i="4"/>
  <c r="V15" i="4"/>
  <c r="V16" i="4"/>
  <c r="V21" i="4"/>
  <c r="U122" i="4"/>
  <c r="U99" i="4"/>
  <c r="U5" i="4"/>
  <c r="U343" i="5"/>
  <c r="T343" i="5"/>
  <c r="U342" i="5"/>
  <c r="T342" i="5"/>
  <c r="U337" i="5"/>
  <c r="T337" i="5"/>
  <c r="S347" i="5"/>
  <c r="R347" i="5"/>
  <c r="Q347" i="5"/>
  <c r="S336" i="5"/>
  <c r="R336" i="5"/>
  <c r="Q336" i="5"/>
  <c r="U333" i="5"/>
  <c r="T333" i="5"/>
  <c r="U332" i="5"/>
  <c r="T332" i="5"/>
  <c r="U327" i="5"/>
  <c r="T327" i="5"/>
  <c r="U325" i="5"/>
  <c r="T325" i="5"/>
  <c r="S331" i="5"/>
  <c r="R331" i="5"/>
  <c r="Q331" i="5"/>
  <c r="S324" i="5"/>
  <c r="R324" i="5"/>
  <c r="Q324" i="5"/>
  <c r="U321" i="5"/>
  <c r="T321" i="5"/>
  <c r="T324" i="5" s="1"/>
  <c r="S320" i="5"/>
  <c r="R320" i="5"/>
  <c r="Q320" i="5"/>
  <c r="U317" i="5"/>
  <c r="T317" i="5"/>
  <c r="T320" i="5" s="1"/>
  <c r="S312" i="5"/>
  <c r="R312" i="5"/>
  <c r="Q312" i="5"/>
  <c r="R311" i="5"/>
  <c r="Q311" i="5"/>
  <c r="T293" i="5"/>
  <c r="U293" i="5"/>
  <c r="T294" i="5"/>
  <c r="U294" i="5"/>
  <c r="T295" i="5"/>
  <c r="U295" i="5"/>
  <c r="T296" i="5"/>
  <c r="U296" i="5"/>
  <c r="T299" i="5"/>
  <c r="U299" i="5"/>
  <c r="T300" i="5"/>
  <c r="T312" i="5" s="1"/>
  <c r="U300" i="5"/>
  <c r="T301" i="5"/>
  <c r="U301" i="5"/>
  <c r="T302" i="5"/>
  <c r="U302" i="5"/>
  <c r="T303" i="5"/>
  <c r="U303" i="5"/>
  <c r="T305" i="5"/>
  <c r="U305" i="5"/>
  <c r="T306" i="5"/>
  <c r="U306" i="5"/>
  <c r="T309" i="5"/>
  <c r="U309" i="5"/>
  <c r="U289" i="5"/>
  <c r="U291" i="5"/>
  <c r="U292" i="5"/>
  <c r="T292" i="5"/>
  <c r="T291" i="5"/>
  <c r="T289" i="5"/>
  <c r="U288" i="5"/>
  <c r="T288" i="5"/>
  <c r="X5" i="4" l="1"/>
  <c r="V5" i="4"/>
  <c r="U22" i="4"/>
  <c r="U124" i="4" s="1"/>
  <c r="U311" i="5"/>
  <c r="U320" i="5"/>
  <c r="T336" i="5"/>
  <c r="U336" i="5"/>
  <c r="U347" i="5"/>
  <c r="U331" i="5"/>
  <c r="U312" i="5"/>
  <c r="U324" i="5"/>
  <c r="T347" i="5"/>
  <c r="T331" i="5"/>
  <c r="U286" i="5"/>
  <c r="T286" i="5"/>
  <c r="U284" i="5"/>
  <c r="T284" i="5"/>
  <c r="U283" i="5"/>
  <c r="T283" i="5"/>
  <c r="U282" i="5"/>
  <c r="T282" i="5"/>
  <c r="U281" i="5"/>
  <c r="T281" i="5"/>
  <c r="U280" i="5"/>
  <c r="T280" i="5"/>
  <c r="U279" i="5"/>
  <c r="T279" i="5"/>
  <c r="AB5" i="4" l="1"/>
  <c r="AB125" i="4" s="1"/>
  <c r="X22" i="4"/>
  <c r="X124" i="4" s="1"/>
  <c r="T311" i="5"/>
  <c r="R278" i="5"/>
  <c r="Q261" i="5"/>
  <c r="S261" i="5" s="1"/>
  <c r="Q262" i="5"/>
  <c r="S262" i="5" s="1"/>
  <c r="Q263" i="5"/>
  <c r="S263" i="5" s="1"/>
  <c r="U263" i="5" s="1"/>
  <c r="Q264" i="5"/>
  <c r="S264" i="5" s="1"/>
  <c r="T264" i="5" s="1"/>
  <c r="Q258" i="5"/>
  <c r="S258" i="5" s="1"/>
  <c r="U245" i="5"/>
  <c r="T245" i="5"/>
  <c r="U244" i="5"/>
  <c r="T244" i="5"/>
  <c r="U243" i="5"/>
  <c r="T243" i="5"/>
  <c r="S247" i="5"/>
  <c r="R247" i="5"/>
  <c r="Q247" i="5"/>
  <c r="S242" i="5"/>
  <c r="R242" i="5"/>
  <c r="Q242" i="5"/>
  <c r="S241" i="5"/>
  <c r="R241" i="5"/>
  <c r="Q241" i="5"/>
  <c r="S240" i="5"/>
  <c r="R240" i="5"/>
  <c r="Q240" i="5"/>
  <c r="U237" i="5"/>
  <c r="T237" i="5"/>
  <c r="U235" i="5"/>
  <c r="T235" i="5"/>
  <c r="U232" i="5"/>
  <c r="T232" i="5"/>
  <c r="U229" i="5"/>
  <c r="T229" i="5"/>
  <c r="U228" i="5"/>
  <c r="T228" i="5"/>
  <c r="T241" i="5" s="1"/>
  <c r="U227" i="5"/>
  <c r="T227" i="5"/>
  <c r="U226" i="5"/>
  <c r="T226" i="5"/>
  <c r="U225" i="5"/>
  <c r="T225" i="5"/>
  <c r="U224" i="5"/>
  <c r="T224" i="5"/>
  <c r="U223" i="5"/>
  <c r="T223" i="5"/>
  <c r="U222" i="5"/>
  <c r="T222" i="5"/>
  <c r="U221" i="5"/>
  <c r="T221" i="5"/>
  <c r="U220" i="5"/>
  <c r="T220" i="5"/>
  <c r="U218" i="5"/>
  <c r="T218" i="5"/>
  <c r="U217" i="5"/>
  <c r="T217" i="5"/>
  <c r="U240" i="5" l="1"/>
  <c r="U242" i="5"/>
  <c r="T258" i="5"/>
  <c r="U258" i="5"/>
  <c r="T247" i="5"/>
  <c r="U241" i="5"/>
  <c r="U261" i="5"/>
  <c r="T261" i="5"/>
  <c r="U247" i="5"/>
  <c r="T240" i="5"/>
  <c r="T242" i="5"/>
  <c r="T262" i="5"/>
  <c r="U262" i="5"/>
  <c r="S278" i="5"/>
  <c r="T263" i="5"/>
  <c r="Q278" i="5"/>
  <c r="U264" i="5"/>
  <c r="U278" i="5" l="1"/>
  <c r="T278" i="5"/>
  <c r="T208" i="5" l="1"/>
  <c r="U208" i="5"/>
  <c r="U206" i="5"/>
  <c r="T206" i="5"/>
  <c r="R212" i="5"/>
  <c r="S212" i="5"/>
  <c r="Q212" i="5"/>
  <c r="S205" i="5"/>
  <c r="R205" i="5"/>
  <c r="Q205" i="5"/>
  <c r="S204" i="5"/>
  <c r="R204" i="5"/>
  <c r="Q204" i="5"/>
  <c r="R203" i="5"/>
  <c r="U198" i="5"/>
  <c r="T198" i="5"/>
  <c r="T205" i="5" s="1"/>
  <c r="U197" i="5"/>
  <c r="T197" i="5"/>
  <c r="U194" i="5"/>
  <c r="T194" i="5"/>
  <c r="T204" i="5" s="1"/>
  <c r="U193" i="5"/>
  <c r="T193" i="5"/>
  <c r="U192" i="5"/>
  <c r="T192" i="5"/>
  <c r="U191" i="5"/>
  <c r="T191" i="5"/>
  <c r="U189" i="5"/>
  <c r="T189" i="5"/>
  <c r="U188" i="5"/>
  <c r="T188" i="5"/>
  <c r="U187" i="5"/>
  <c r="T187" i="5"/>
  <c r="U186" i="5"/>
  <c r="T186" i="5"/>
  <c r="U185" i="5"/>
  <c r="T185" i="5"/>
  <c r="U184" i="5"/>
  <c r="T184" i="5"/>
  <c r="U183" i="5"/>
  <c r="T183" i="5"/>
  <c r="U182" i="5"/>
  <c r="T182" i="5"/>
  <c r="U181" i="5"/>
  <c r="T181" i="5"/>
  <c r="S180" i="5"/>
  <c r="R180" i="5"/>
  <c r="Q180" i="5"/>
  <c r="S179" i="5"/>
  <c r="R179" i="5"/>
  <c r="Q179" i="5"/>
  <c r="U176" i="5"/>
  <c r="T176" i="5"/>
  <c r="T180" i="5" s="1"/>
  <c r="U175" i="5"/>
  <c r="T175" i="5"/>
  <c r="U172" i="5"/>
  <c r="T172" i="5"/>
  <c r="U169" i="5"/>
  <c r="T169" i="5"/>
  <c r="S168" i="5"/>
  <c r="R168" i="5"/>
  <c r="Q168" i="5"/>
  <c r="T167" i="5"/>
  <c r="R167" i="5"/>
  <c r="Q167" i="5"/>
  <c r="U162" i="5"/>
  <c r="T162" i="5"/>
  <c r="T168" i="5" s="1"/>
  <c r="S156" i="5"/>
  <c r="R156" i="5"/>
  <c r="Q156" i="5"/>
  <c r="S155" i="5"/>
  <c r="R155" i="5"/>
  <c r="Q155" i="5"/>
  <c r="U153" i="5"/>
  <c r="T153" i="5"/>
  <c r="T156" i="5" s="1"/>
  <c r="U152" i="5"/>
  <c r="T152" i="5"/>
  <c r="U151" i="5"/>
  <c r="T151" i="5"/>
  <c r="U150" i="5"/>
  <c r="T150" i="5"/>
  <c r="U149" i="5"/>
  <c r="T149" i="5"/>
  <c r="S148" i="5"/>
  <c r="R148" i="5"/>
  <c r="Q148" i="5"/>
  <c r="S147" i="5"/>
  <c r="R147" i="5"/>
  <c r="Q147" i="5"/>
  <c r="U144" i="5"/>
  <c r="T144" i="5"/>
  <c r="T148" i="5" s="1"/>
  <c r="U143" i="5"/>
  <c r="T143" i="5"/>
  <c r="T147" i="5" s="1"/>
  <c r="U138" i="5"/>
  <c r="T138" i="5"/>
  <c r="S137" i="5"/>
  <c r="R137" i="5"/>
  <c r="Q137" i="5"/>
  <c r="T136" i="5"/>
  <c r="S136" i="5"/>
  <c r="R136" i="5"/>
  <c r="Q136" i="5"/>
  <c r="U134" i="5"/>
  <c r="T134" i="5"/>
  <c r="T137" i="5" s="1"/>
  <c r="S132" i="5"/>
  <c r="R132" i="5"/>
  <c r="Q132" i="5"/>
  <c r="S131" i="5"/>
  <c r="R131" i="5"/>
  <c r="Q131" i="5"/>
  <c r="U127" i="5"/>
  <c r="T127" i="5"/>
  <c r="U126" i="5"/>
  <c r="T126" i="5"/>
  <c r="U125" i="5"/>
  <c r="T125" i="5"/>
  <c r="T132" i="5" s="1"/>
  <c r="U124" i="5"/>
  <c r="T124" i="5"/>
  <c r="U123" i="5"/>
  <c r="T123" i="5"/>
  <c r="U122" i="5"/>
  <c r="T122" i="5"/>
  <c r="U121" i="5"/>
  <c r="T121" i="5"/>
  <c r="U120" i="5"/>
  <c r="T120" i="5"/>
  <c r="S118" i="5"/>
  <c r="R118" i="5"/>
  <c r="Q118" i="5"/>
  <c r="U113" i="5"/>
  <c r="T113" i="5"/>
  <c r="T118" i="5" s="1"/>
  <c r="U111" i="5"/>
  <c r="T111" i="5"/>
  <c r="U110" i="5"/>
  <c r="T110" i="5"/>
  <c r="U109" i="5"/>
  <c r="T109" i="5"/>
  <c r="S117" i="5"/>
  <c r="R117" i="5"/>
  <c r="Q117" i="5"/>
  <c r="S103" i="5"/>
  <c r="R103" i="5"/>
  <c r="Q103" i="5"/>
  <c r="U102" i="5"/>
  <c r="T102" i="5"/>
  <c r="U101" i="5"/>
  <c r="T101" i="5"/>
  <c r="R97" i="5"/>
  <c r="S97" i="5"/>
  <c r="Q97" i="5"/>
  <c r="S96" i="5"/>
  <c r="R96" i="5"/>
  <c r="Q96" i="5"/>
  <c r="U95" i="5"/>
  <c r="T95" i="5"/>
  <c r="U94" i="5"/>
  <c r="T94" i="5"/>
  <c r="T97" i="5" s="1"/>
  <c r="U93" i="5"/>
  <c r="T93" i="5"/>
  <c r="U91" i="5"/>
  <c r="U90" i="5"/>
  <c r="T91" i="5"/>
  <c r="T90" i="5"/>
  <c r="U89" i="5"/>
  <c r="T89" i="5"/>
  <c r="U88" i="5"/>
  <c r="T88" i="5"/>
  <c r="U87" i="5"/>
  <c r="T87" i="5"/>
  <c r="U86" i="5"/>
  <c r="T86" i="5"/>
  <c r="S84" i="5"/>
  <c r="R84" i="5"/>
  <c r="Q84" i="5"/>
  <c r="U80" i="5"/>
  <c r="T80" i="5"/>
  <c r="U78" i="5"/>
  <c r="T78" i="5"/>
  <c r="U77" i="5"/>
  <c r="T77" i="5"/>
  <c r="U76" i="5"/>
  <c r="T76" i="5"/>
  <c r="U75" i="5"/>
  <c r="T75" i="5"/>
  <c r="U72" i="5"/>
  <c r="T72" i="5"/>
  <c r="R70" i="5"/>
  <c r="S70" i="5"/>
  <c r="Q70" i="5"/>
  <c r="U48" i="5"/>
  <c r="T48" i="5"/>
  <c r="T70" i="5" s="1"/>
  <c r="S43" i="5"/>
  <c r="R43" i="5"/>
  <c r="Q43" i="5"/>
  <c r="U40" i="5"/>
  <c r="T40" i="5"/>
  <c r="T43" i="5" s="1"/>
  <c r="R37" i="5"/>
  <c r="Q32" i="5"/>
  <c r="Q37" i="5" s="1"/>
  <c r="T20" i="5"/>
  <c r="T19" i="5"/>
  <c r="T24" i="5" s="1"/>
  <c r="T18" i="5"/>
  <c r="T17" i="5"/>
  <c r="T14" i="5"/>
  <c r="T5" i="5"/>
  <c r="T8" i="5" s="1"/>
  <c r="U20" i="5"/>
  <c r="U18" i="5"/>
  <c r="U19" i="5"/>
  <c r="U17" i="5"/>
  <c r="U14" i="5"/>
  <c r="U5" i="5"/>
  <c r="S25" i="5"/>
  <c r="S24" i="5"/>
  <c r="S23" i="5"/>
  <c r="S8" i="5"/>
  <c r="R25" i="5"/>
  <c r="Q25" i="5"/>
  <c r="R24" i="5"/>
  <c r="Q24" i="5"/>
  <c r="R23" i="5"/>
  <c r="Q23" i="5"/>
  <c r="R8" i="5"/>
  <c r="Q8" i="5"/>
  <c r="S5" i="4"/>
  <c r="T25" i="5" l="1"/>
  <c r="T353" i="5" s="1"/>
  <c r="T146" i="5"/>
  <c r="T179" i="5"/>
  <c r="Q351" i="5"/>
  <c r="U84" i="5"/>
  <c r="R350" i="5"/>
  <c r="Q350" i="5"/>
  <c r="U137" i="5"/>
  <c r="U168" i="5"/>
  <c r="R351" i="5"/>
  <c r="U132" i="5"/>
  <c r="S32" i="5"/>
  <c r="S37" i="5" s="1"/>
  <c r="S350" i="5" s="1"/>
  <c r="U179" i="5"/>
  <c r="U180" i="5"/>
  <c r="T131" i="5"/>
  <c r="S351" i="5"/>
  <c r="T351" i="5"/>
  <c r="U117" i="5"/>
  <c r="S353" i="5"/>
  <c r="R353" i="5"/>
  <c r="U155" i="5"/>
  <c r="Q353" i="5"/>
  <c r="U96" i="5"/>
  <c r="T103" i="5"/>
  <c r="U103" i="5"/>
  <c r="U146" i="5"/>
  <c r="U156" i="5"/>
  <c r="T203" i="5"/>
  <c r="T96" i="5"/>
  <c r="U118" i="5"/>
  <c r="U131" i="5"/>
  <c r="U136" i="5"/>
  <c r="U148" i="5"/>
  <c r="U167" i="5"/>
  <c r="U203" i="5"/>
  <c r="U204" i="5"/>
  <c r="U205" i="5"/>
  <c r="T84" i="5"/>
  <c r="U97" i="5"/>
  <c r="T117" i="5"/>
  <c r="U147" i="5"/>
  <c r="T155" i="5"/>
  <c r="U8" i="5"/>
  <c r="T23" i="5"/>
  <c r="U25" i="5"/>
  <c r="U43" i="5"/>
  <c r="U212" i="5"/>
  <c r="T212" i="5"/>
  <c r="U70" i="5"/>
  <c r="U23" i="5"/>
  <c r="U24" i="5"/>
  <c r="S6" i="4"/>
  <c r="S7" i="4"/>
  <c r="S8" i="4"/>
  <c r="S9" i="4"/>
  <c r="S10" i="4"/>
  <c r="Q6" i="4"/>
  <c r="Q7" i="4"/>
  <c r="Q8" i="4"/>
  <c r="Q9" i="4"/>
  <c r="Q10" i="4"/>
  <c r="Q5" i="4"/>
  <c r="R6" i="4"/>
  <c r="R7" i="4"/>
  <c r="R8" i="4"/>
  <c r="R9" i="4"/>
  <c r="R10" i="4"/>
  <c r="R5" i="4"/>
  <c r="P5" i="4"/>
  <c r="P6" i="4"/>
  <c r="P7" i="4"/>
  <c r="P8" i="4"/>
  <c r="P9" i="4"/>
  <c r="P10" i="4"/>
  <c r="R12" i="4"/>
  <c r="S12" i="4" s="1"/>
  <c r="R13" i="4"/>
  <c r="R15" i="4"/>
  <c r="S15" i="4" s="1"/>
  <c r="R16" i="4"/>
  <c r="S16" i="4" s="1"/>
  <c r="R21" i="4"/>
  <c r="S21" i="4" s="1"/>
  <c r="R14" i="4"/>
  <c r="S14" i="4" s="1"/>
  <c r="P21" i="4"/>
  <c r="Q21" i="4" s="1"/>
  <c r="P16" i="4"/>
  <c r="Q16" i="4" s="1"/>
  <c r="P15" i="4"/>
  <c r="Q15" i="4" s="1"/>
  <c r="P13" i="4"/>
  <c r="Q13" i="4" s="1"/>
  <c r="P12" i="4"/>
  <c r="Q12" i="4" s="1"/>
  <c r="P14" i="4"/>
  <c r="Q14" i="4" s="1"/>
  <c r="L99" i="4"/>
  <c r="C7" i="38" l="1"/>
  <c r="C7" i="37"/>
  <c r="C7" i="36"/>
  <c r="G7" i="14"/>
  <c r="AO99" i="4"/>
  <c r="U37" i="5"/>
  <c r="Q22" i="4"/>
  <c r="R22" i="4"/>
  <c r="S13" i="4"/>
  <c r="S22" i="4" s="1"/>
  <c r="P99" i="4"/>
  <c r="Q99" i="4" s="1"/>
  <c r="R99" i="4" s="1"/>
  <c r="S99" i="4" s="1"/>
  <c r="T32" i="5"/>
  <c r="T37" i="5" s="1"/>
  <c r="T350" i="5" s="1"/>
  <c r="T355" i="5" s="1"/>
  <c r="T1" i="5" s="1"/>
  <c r="R355" i="5"/>
  <c r="R1" i="5" s="1"/>
  <c r="Q355" i="5"/>
  <c r="Q1" i="5" s="1"/>
  <c r="S355" i="5"/>
  <c r="U32" i="5"/>
  <c r="U350" i="5"/>
  <c r="U351" i="5"/>
  <c r="P22" i="4"/>
  <c r="N138" i="5"/>
  <c r="M138" i="5"/>
  <c r="U355" i="5" l="1"/>
  <c r="S1" i="5"/>
  <c r="W306" i="5"/>
  <c r="L181" i="5"/>
  <c r="L203" i="5" s="1"/>
  <c r="AL203" i="5" s="1"/>
  <c r="L86" i="5"/>
  <c r="L324" i="5" l="1"/>
  <c r="AL324" i="5" s="1"/>
  <c r="L347" i="5"/>
  <c r="L149" i="5"/>
  <c r="L143" i="5"/>
  <c r="L146" i="5" s="1"/>
  <c r="AL146" i="5" s="1"/>
  <c r="L144" i="5"/>
  <c r="I112" i="4"/>
  <c r="I111" i="4"/>
  <c r="D122" i="4"/>
  <c r="L35" i="4"/>
  <c r="F35" i="4"/>
  <c r="D35" i="4"/>
  <c r="F240" i="5"/>
  <c r="D240" i="5"/>
  <c r="D324" i="5"/>
  <c r="F312" i="5"/>
  <c r="I312" i="5"/>
  <c r="L312" i="5"/>
  <c r="AL312" i="5" s="1"/>
  <c r="AL311" i="5"/>
  <c r="F311" i="5"/>
  <c r="D312" i="5"/>
  <c r="D311" i="5"/>
  <c r="I278" i="5"/>
  <c r="F278" i="5"/>
  <c r="D278" i="5"/>
  <c r="F247" i="5"/>
  <c r="D247" i="5"/>
  <c r="F242" i="5"/>
  <c r="D242" i="5"/>
  <c r="L241" i="5"/>
  <c r="AL241" i="5" s="1"/>
  <c r="I241" i="5"/>
  <c r="F241" i="5"/>
  <c r="D241" i="5"/>
  <c r="D204" i="5"/>
  <c r="F203" i="5"/>
  <c r="D203" i="5"/>
  <c r="I147" i="5"/>
  <c r="I146" i="5"/>
  <c r="D146" i="5"/>
  <c r="L136" i="5"/>
  <c r="AL136" i="5" s="1"/>
  <c r="I136" i="5"/>
  <c r="F136" i="5"/>
  <c r="D136" i="5"/>
  <c r="L132" i="5"/>
  <c r="AL132" i="5" s="1"/>
  <c r="I132" i="5"/>
  <c r="F132" i="5"/>
  <c r="D132" i="5"/>
  <c r="L131" i="5"/>
  <c r="AL131" i="5" s="1"/>
  <c r="I131" i="5"/>
  <c r="F131" i="5"/>
  <c r="D131" i="5"/>
  <c r="L117" i="5"/>
  <c r="AL117" i="5" s="1"/>
  <c r="I117" i="5"/>
  <c r="F117" i="5"/>
  <c r="D118" i="5"/>
  <c r="D117" i="5"/>
  <c r="F103" i="5"/>
  <c r="D103" i="5"/>
  <c r="F96" i="5"/>
  <c r="D96" i="5"/>
  <c r="I84" i="5"/>
  <c r="F84" i="5"/>
  <c r="D84" i="5"/>
  <c r="L70" i="5"/>
  <c r="AL70" i="5" s="1"/>
  <c r="I70" i="5"/>
  <c r="F70" i="5"/>
  <c r="D70" i="5"/>
  <c r="L43" i="5"/>
  <c r="AL43" i="5" s="1"/>
  <c r="F43" i="5"/>
  <c r="D43" i="5"/>
  <c r="D37" i="5"/>
  <c r="I31" i="5"/>
  <c r="F31" i="5"/>
  <c r="D31" i="5"/>
  <c r="L23" i="5"/>
  <c r="AL23" i="5" s="1"/>
  <c r="I23" i="5"/>
  <c r="F23" i="5"/>
  <c r="D23" i="5"/>
  <c r="D8" i="5"/>
  <c r="C8" i="38" l="1"/>
  <c r="C8" i="36"/>
  <c r="C8" i="37"/>
  <c r="G8" i="33"/>
  <c r="G8" i="14"/>
  <c r="AO35" i="4"/>
  <c r="W337" i="5"/>
  <c r="AL347" i="5"/>
  <c r="P35" i="4"/>
  <c r="Q35" i="4" s="1"/>
  <c r="R35" i="4" s="1"/>
  <c r="S35" i="4" s="1"/>
  <c r="I35" i="4"/>
  <c r="L243" i="5" l="1"/>
  <c r="L235" i="5"/>
  <c r="L220" i="5"/>
  <c r="L176" i="5"/>
  <c r="L180" i="5" s="1"/>
  <c r="AL180" i="5" s="1"/>
  <c r="N28" i="5"/>
  <c r="M28" i="5"/>
  <c r="N26" i="5"/>
  <c r="M26" i="5"/>
  <c r="I347" i="5"/>
  <c r="F347" i="5"/>
  <c r="D347" i="5"/>
  <c r="N343" i="5"/>
  <c r="M343" i="5"/>
  <c r="N342" i="5"/>
  <c r="M342" i="5"/>
  <c r="N337" i="5"/>
  <c r="M337" i="5"/>
  <c r="N333" i="5"/>
  <c r="M333" i="5"/>
  <c r="N332" i="5"/>
  <c r="M332" i="5"/>
  <c r="L336" i="5"/>
  <c r="AL336" i="5" s="1"/>
  <c r="I336" i="5"/>
  <c r="F336" i="5"/>
  <c r="D331" i="5"/>
  <c r="D336" i="5"/>
  <c r="N328" i="5"/>
  <c r="M328" i="5"/>
  <c r="N327" i="5"/>
  <c r="M327" i="5"/>
  <c r="N326" i="5"/>
  <c r="M326" i="5"/>
  <c r="N325" i="5"/>
  <c r="M325" i="5"/>
  <c r="L331" i="5"/>
  <c r="AL331" i="5" s="1"/>
  <c r="I331" i="5"/>
  <c r="F331" i="5"/>
  <c r="M321" i="5"/>
  <c r="I324" i="5"/>
  <c r="F324" i="5"/>
  <c r="L320" i="5"/>
  <c r="AL320" i="5" s="1"/>
  <c r="F320" i="5"/>
  <c r="D320" i="5"/>
  <c r="M317" i="5"/>
  <c r="I317" i="5"/>
  <c r="I320" i="5" s="1"/>
  <c r="N306" i="5"/>
  <c r="I296" i="5"/>
  <c r="N296" i="5" s="1"/>
  <c r="I295" i="5"/>
  <c r="N279" i="5"/>
  <c r="N309" i="5"/>
  <c r="M309" i="5"/>
  <c r="N305" i="5"/>
  <c r="M305" i="5"/>
  <c r="N304" i="5"/>
  <c r="M304" i="5"/>
  <c r="N303" i="5"/>
  <c r="M303" i="5"/>
  <c r="N302" i="5"/>
  <c r="M302" i="5"/>
  <c r="N301" i="5"/>
  <c r="M301" i="5"/>
  <c r="N300" i="5"/>
  <c r="M300" i="5"/>
  <c r="N299" i="5"/>
  <c r="M299" i="5"/>
  <c r="M296" i="5"/>
  <c r="M295" i="5"/>
  <c r="N294" i="5"/>
  <c r="M294" i="5"/>
  <c r="N293" i="5"/>
  <c r="M293" i="5"/>
  <c r="N292" i="5"/>
  <c r="M292" i="5"/>
  <c r="N291" i="5"/>
  <c r="M291" i="5"/>
  <c r="N289" i="5"/>
  <c r="M289" i="5"/>
  <c r="N288" i="5"/>
  <c r="M288" i="5"/>
  <c r="N287" i="5"/>
  <c r="M287" i="5"/>
  <c r="N286" i="5"/>
  <c r="M286" i="5"/>
  <c r="N284" i="5"/>
  <c r="M284" i="5"/>
  <c r="N283" i="5"/>
  <c r="M283" i="5"/>
  <c r="N282" i="5"/>
  <c r="M282" i="5"/>
  <c r="N281" i="5"/>
  <c r="M281" i="5"/>
  <c r="N280" i="5"/>
  <c r="M280" i="5"/>
  <c r="L278" i="5"/>
  <c r="N264" i="5"/>
  <c r="M264" i="5"/>
  <c r="N263" i="5"/>
  <c r="M263" i="5"/>
  <c r="N262" i="5"/>
  <c r="M262" i="5"/>
  <c r="N261" i="5"/>
  <c r="M261" i="5"/>
  <c r="N258" i="5"/>
  <c r="M258" i="5"/>
  <c r="M244" i="5"/>
  <c r="N244" i="5"/>
  <c r="M245" i="5"/>
  <c r="I245" i="5"/>
  <c r="N245" i="5" s="1"/>
  <c r="I243" i="5"/>
  <c r="M222" i="5"/>
  <c r="N222" i="5"/>
  <c r="M223" i="5"/>
  <c r="N223" i="5"/>
  <c r="D180" i="5"/>
  <c r="I180" i="5"/>
  <c r="F180" i="5"/>
  <c r="L221" i="5"/>
  <c r="M221" i="5" s="1"/>
  <c r="L240" i="5" l="1"/>
  <c r="AL240" i="5" s="1"/>
  <c r="M278" i="5"/>
  <c r="AL278" i="5"/>
  <c r="M243" i="5"/>
  <c r="L247" i="5"/>
  <c r="AL247" i="5" s="1"/>
  <c r="N278" i="5"/>
  <c r="I247" i="5"/>
  <c r="N295" i="5"/>
  <c r="I311" i="5"/>
  <c r="N176" i="5"/>
  <c r="L242" i="5"/>
  <c r="AL242" i="5" s="1"/>
  <c r="M220" i="5"/>
  <c r="M176" i="5"/>
  <c r="N331" i="5"/>
  <c r="N317" i="5"/>
  <c r="M336" i="5"/>
  <c r="M347" i="5"/>
  <c r="M331" i="5"/>
  <c r="N180" i="5"/>
  <c r="N312" i="5"/>
  <c r="N347" i="5"/>
  <c r="M312" i="5"/>
  <c r="N336" i="5"/>
  <c r="N320" i="5"/>
  <c r="M320" i="5"/>
  <c r="N321" i="5"/>
  <c r="M306" i="5"/>
  <c r="M279" i="5"/>
  <c r="M180" i="5"/>
  <c r="N243" i="5"/>
  <c r="N311" i="5" l="1"/>
  <c r="N324" i="5"/>
  <c r="M324" i="5"/>
  <c r="M311" i="5"/>
  <c r="N247" i="5"/>
  <c r="I237" i="5" l="1"/>
  <c r="N237" i="5" s="1"/>
  <c r="I235" i="5"/>
  <c r="I232" i="5"/>
  <c r="N232" i="5" s="1"/>
  <c r="I221" i="5"/>
  <c r="N221" i="5" s="1"/>
  <c r="I220" i="5"/>
  <c r="N220" i="5" s="1"/>
  <c r="I218" i="5"/>
  <c r="N218" i="5" s="1"/>
  <c r="I217" i="5"/>
  <c r="M237" i="5"/>
  <c r="M235" i="5"/>
  <c r="M232" i="5"/>
  <c r="N231" i="5"/>
  <c r="M231" i="5"/>
  <c r="N229" i="5"/>
  <c r="M229" i="5"/>
  <c r="N228" i="5"/>
  <c r="M228" i="5"/>
  <c r="N227" i="5"/>
  <c r="M227" i="5"/>
  <c r="N226" i="5"/>
  <c r="M226" i="5"/>
  <c r="N225" i="5"/>
  <c r="M225" i="5"/>
  <c r="N224" i="5"/>
  <c r="M224" i="5"/>
  <c r="M218" i="5"/>
  <c r="M217" i="5"/>
  <c r="L204" i="5"/>
  <c r="AL204" i="5" s="1"/>
  <c r="I205" i="5"/>
  <c r="I204" i="5"/>
  <c r="F205" i="5"/>
  <c r="F204" i="5"/>
  <c r="D205" i="5"/>
  <c r="N235" i="5" l="1"/>
  <c r="I242" i="5"/>
  <c r="I240" i="5"/>
  <c r="N240" i="5" s="1"/>
  <c r="M240" i="5"/>
  <c r="M247" i="5"/>
  <c r="M242" i="5"/>
  <c r="N217" i="5"/>
  <c r="M241" i="5"/>
  <c r="N241" i="5"/>
  <c r="N242" i="5" l="1"/>
  <c r="M205" i="5" l="1"/>
  <c r="N205" i="5"/>
  <c r="N204" i="5"/>
  <c r="M204" i="5"/>
  <c r="I184" i="5"/>
  <c r="N184" i="5" s="1"/>
  <c r="I183" i="5"/>
  <c r="N183" i="5" s="1"/>
  <c r="I181" i="5"/>
  <c r="N198" i="5"/>
  <c r="M198" i="5"/>
  <c r="N197" i="5"/>
  <c r="M197" i="5"/>
  <c r="N194" i="5"/>
  <c r="M194" i="5"/>
  <c r="N193" i="5"/>
  <c r="M193" i="5"/>
  <c r="N192" i="5"/>
  <c r="M192" i="5"/>
  <c r="N191" i="5"/>
  <c r="M191" i="5"/>
  <c r="N189" i="5"/>
  <c r="M189" i="5"/>
  <c r="N188" i="5"/>
  <c r="M188" i="5"/>
  <c r="N187" i="5"/>
  <c r="M187" i="5"/>
  <c r="N185" i="5"/>
  <c r="M185" i="5"/>
  <c r="M184" i="5"/>
  <c r="M183" i="5"/>
  <c r="N182" i="5"/>
  <c r="M182" i="5"/>
  <c r="N175" i="5"/>
  <c r="M175" i="5"/>
  <c r="N172" i="5"/>
  <c r="M172" i="5"/>
  <c r="N169" i="5"/>
  <c r="M169" i="5"/>
  <c r="L179" i="5"/>
  <c r="AL179" i="5" s="1"/>
  <c r="I179" i="5"/>
  <c r="F179" i="5"/>
  <c r="D179" i="5"/>
  <c r="M179" i="5" l="1"/>
  <c r="I203" i="5"/>
  <c r="N203" i="5" s="1"/>
  <c r="N179" i="5"/>
  <c r="M181" i="5"/>
  <c r="M203" i="5"/>
  <c r="N181" i="5"/>
  <c r="L96" i="5"/>
  <c r="AL96" i="5" s="1"/>
  <c r="N161" i="5" l="1"/>
  <c r="M161" i="5"/>
  <c r="L162" i="5"/>
  <c r="L167" i="5"/>
  <c r="AL167" i="5" s="1"/>
  <c r="I168" i="5"/>
  <c r="I167" i="5"/>
  <c r="F168" i="5"/>
  <c r="F167" i="5"/>
  <c r="D168" i="5"/>
  <c r="D167" i="5"/>
  <c r="N153" i="5"/>
  <c r="M153" i="5"/>
  <c r="N152" i="5"/>
  <c r="M152" i="5"/>
  <c r="N151" i="5"/>
  <c r="M151" i="5"/>
  <c r="N150" i="5"/>
  <c r="M150" i="5"/>
  <c r="L156" i="5"/>
  <c r="AL156" i="5" s="1"/>
  <c r="L155" i="5"/>
  <c r="AL155" i="5" s="1"/>
  <c r="I156" i="5"/>
  <c r="I155" i="5"/>
  <c r="F156" i="5"/>
  <c r="F155" i="5"/>
  <c r="D156" i="5"/>
  <c r="D155" i="5"/>
  <c r="N19" i="5"/>
  <c r="M19" i="5"/>
  <c r="N18" i="5"/>
  <c r="M18" i="5"/>
  <c r="N17" i="5"/>
  <c r="M17" i="5"/>
  <c r="N16" i="5"/>
  <c r="M16" i="5"/>
  <c r="N12" i="5"/>
  <c r="M12" i="5"/>
  <c r="I25" i="5"/>
  <c r="F25" i="5"/>
  <c r="D25" i="5"/>
  <c r="N20" i="5"/>
  <c r="N149" i="5"/>
  <c r="M149" i="5"/>
  <c r="N142" i="5"/>
  <c r="M142" i="5"/>
  <c r="N141" i="5"/>
  <c r="M141" i="5"/>
  <c r="F147" i="5"/>
  <c r="F146" i="5"/>
  <c r="D148" i="5"/>
  <c r="D147" i="5"/>
  <c r="I148" i="5"/>
  <c r="F148" i="5"/>
  <c r="L137" i="5"/>
  <c r="AL137" i="5" s="1"/>
  <c r="I137" i="5"/>
  <c r="F137" i="5"/>
  <c r="D137" i="5"/>
  <c r="N134" i="5"/>
  <c r="M134" i="5"/>
  <c r="N133" i="5"/>
  <c r="M133" i="5"/>
  <c r="L31" i="5"/>
  <c r="AL31" i="5" s="1"/>
  <c r="M132" i="5"/>
  <c r="L118" i="5"/>
  <c r="AL118" i="5" s="1"/>
  <c r="I118" i="5"/>
  <c r="F118" i="5"/>
  <c r="M110" i="5"/>
  <c r="N110" i="5"/>
  <c r="M111" i="5"/>
  <c r="N111" i="5"/>
  <c r="M112" i="5"/>
  <c r="N112" i="5"/>
  <c r="M113" i="5"/>
  <c r="N113" i="5"/>
  <c r="M120" i="5"/>
  <c r="N120" i="5"/>
  <c r="M121" i="5"/>
  <c r="N121" i="5"/>
  <c r="M122" i="5"/>
  <c r="N122" i="5"/>
  <c r="M123" i="5"/>
  <c r="N123" i="5"/>
  <c r="M124" i="5"/>
  <c r="N124" i="5"/>
  <c r="M125" i="5"/>
  <c r="N125" i="5"/>
  <c r="M126" i="5"/>
  <c r="N126" i="5"/>
  <c r="M127" i="5"/>
  <c r="N127" i="5"/>
  <c r="M128" i="5"/>
  <c r="N128" i="5"/>
  <c r="N109" i="5"/>
  <c r="M109" i="5"/>
  <c r="N48" i="5"/>
  <c r="M48" i="5"/>
  <c r="I24" i="5"/>
  <c r="L24" i="5"/>
  <c r="AL24" i="5" s="1"/>
  <c r="L37" i="5"/>
  <c r="AL37" i="5" s="1"/>
  <c r="I37" i="5"/>
  <c r="F37" i="5"/>
  <c r="D24" i="5"/>
  <c r="L97" i="5"/>
  <c r="AL97" i="5" s="1"/>
  <c r="I97" i="5"/>
  <c r="F97" i="5"/>
  <c r="D97" i="5"/>
  <c r="F24" i="5"/>
  <c r="L14" i="5"/>
  <c r="L25" i="5" s="1"/>
  <c r="AL25" i="5" s="1"/>
  <c r="N32" i="5"/>
  <c r="M32" i="5"/>
  <c r="I40" i="5"/>
  <c r="M40" i="5"/>
  <c r="N38" i="5"/>
  <c r="M38" i="5"/>
  <c r="L8" i="5"/>
  <c r="AL8" i="5" s="1"/>
  <c r="I8" i="5"/>
  <c r="F8" i="5"/>
  <c r="L103" i="5"/>
  <c r="AL103" i="5" s="1"/>
  <c r="N102" i="5"/>
  <c r="M102" i="5"/>
  <c r="N101" i="5"/>
  <c r="M101" i="5"/>
  <c r="N95" i="5"/>
  <c r="M95" i="5"/>
  <c r="N94" i="5"/>
  <c r="M94" i="5"/>
  <c r="N93" i="5"/>
  <c r="M93" i="5"/>
  <c r="N91" i="5"/>
  <c r="M91" i="5"/>
  <c r="N90" i="5"/>
  <c r="M90" i="5"/>
  <c r="N89" i="5"/>
  <c r="M89" i="5"/>
  <c r="N88" i="5"/>
  <c r="M88" i="5"/>
  <c r="N87" i="5"/>
  <c r="M87" i="5"/>
  <c r="D350" i="5" l="1"/>
  <c r="M156" i="5"/>
  <c r="L168" i="5"/>
  <c r="V162" i="5"/>
  <c r="F350" i="5"/>
  <c r="N40" i="5"/>
  <c r="I43" i="5"/>
  <c r="N43" i="5" s="1"/>
  <c r="I103" i="5"/>
  <c r="N103" i="5" s="1"/>
  <c r="I351" i="5"/>
  <c r="D351" i="5"/>
  <c r="F351" i="5"/>
  <c r="F353" i="5"/>
  <c r="I353" i="5"/>
  <c r="D353" i="5"/>
  <c r="M167" i="5"/>
  <c r="M162" i="5"/>
  <c r="N162" i="5"/>
  <c r="N167" i="5"/>
  <c r="N155" i="5"/>
  <c r="M155" i="5"/>
  <c r="N156" i="5"/>
  <c r="M20" i="5"/>
  <c r="N25" i="5"/>
  <c r="N14" i="5"/>
  <c r="M14" i="5"/>
  <c r="N117" i="5"/>
  <c r="M31" i="5"/>
  <c r="N118" i="5"/>
  <c r="M136" i="5"/>
  <c r="M137" i="5"/>
  <c r="N136" i="5"/>
  <c r="N137" i="5"/>
  <c r="N132" i="5"/>
  <c r="N31" i="5"/>
  <c r="M117" i="5"/>
  <c r="M118" i="5"/>
  <c r="M37" i="5"/>
  <c r="M43" i="5"/>
  <c r="M97" i="5"/>
  <c r="N97" i="5"/>
  <c r="N23" i="5"/>
  <c r="M24" i="5"/>
  <c r="N8" i="5"/>
  <c r="N37" i="5"/>
  <c r="M23" i="5"/>
  <c r="M131" i="5"/>
  <c r="N131" i="5"/>
  <c r="N24" i="5"/>
  <c r="M8" i="5"/>
  <c r="M70" i="5"/>
  <c r="N86" i="5"/>
  <c r="I96" i="5"/>
  <c r="N96" i="5" s="1"/>
  <c r="M86" i="5"/>
  <c r="M103" i="5"/>
  <c r="M96" i="5"/>
  <c r="M168" i="5" l="1"/>
  <c r="AL168" i="5"/>
  <c r="N168" i="5"/>
  <c r="M25" i="5"/>
  <c r="N70" i="5"/>
  <c r="C12" i="34" l="1"/>
  <c r="I350" i="5"/>
  <c r="N77" i="5"/>
  <c r="M77" i="5"/>
  <c r="N75" i="5"/>
  <c r="M75" i="5"/>
  <c r="N74" i="5"/>
  <c r="M74" i="5"/>
  <c r="N73" i="5"/>
  <c r="M73" i="5"/>
  <c r="N72" i="5"/>
  <c r="M72" i="5"/>
  <c r="L76" i="5"/>
  <c r="L78" i="5"/>
  <c r="M78" i="5" s="1"/>
  <c r="L80" i="5"/>
  <c r="M80" i="5" s="1"/>
  <c r="N5" i="5"/>
  <c r="M5" i="5"/>
  <c r="J23" i="5" l="1"/>
  <c r="J70" i="5"/>
  <c r="J117" i="5"/>
  <c r="J155" i="5"/>
  <c r="J247" i="5"/>
  <c r="J336" i="5"/>
  <c r="J43" i="5"/>
  <c r="J103" i="5"/>
  <c r="J146" i="5"/>
  <c r="J240" i="5"/>
  <c r="J324" i="5"/>
  <c r="J37" i="5"/>
  <c r="J96" i="5"/>
  <c r="J136" i="5"/>
  <c r="J203" i="5"/>
  <c r="J331" i="5"/>
  <c r="J31" i="5"/>
  <c r="J84" i="5"/>
  <c r="J131" i="5"/>
  <c r="J179" i="5"/>
  <c r="J311" i="5"/>
  <c r="M76" i="5"/>
  <c r="L84" i="5"/>
  <c r="AL84" i="5" s="1"/>
  <c r="N80" i="5"/>
  <c r="N76" i="5"/>
  <c r="N78" i="5"/>
  <c r="E14" i="14" l="1"/>
  <c r="M84" i="5"/>
  <c r="N84" i="5"/>
  <c r="C11" i="34" l="1"/>
  <c r="C13" i="34" s="1"/>
  <c r="F122" i="4"/>
  <c r="N112" i="4"/>
  <c r="M112" i="4"/>
  <c r="N111" i="4"/>
  <c r="M111" i="4"/>
  <c r="M105" i="4"/>
  <c r="N93" i="4"/>
  <c r="M90" i="4"/>
  <c r="N90" i="4"/>
  <c r="L92" i="4"/>
  <c r="N89" i="4"/>
  <c r="M89" i="4"/>
  <c r="N88" i="4"/>
  <c r="M88" i="4"/>
  <c r="N40" i="4"/>
  <c r="M40" i="4"/>
  <c r="N37" i="4"/>
  <c r="M37" i="4"/>
  <c r="M92" i="4" l="1"/>
  <c r="AO92" i="4"/>
  <c r="N92" i="4"/>
  <c r="L122" i="4"/>
  <c r="M93" i="4"/>
  <c r="I99" i="4"/>
  <c r="F99" i="4"/>
  <c r="M99" i="4" s="1"/>
  <c r="D99" i="4"/>
  <c r="N97" i="4"/>
  <c r="M97" i="4"/>
  <c r="N66" i="4"/>
  <c r="M66" i="4"/>
  <c r="M71" i="4"/>
  <c r="I71" i="4"/>
  <c r="N71" i="4" s="1"/>
  <c r="N29" i="4"/>
  <c r="M29" i="4"/>
  <c r="N28" i="4"/>
  <c r="M28" i="4"/>
  <c r="N27" i="4"/>
  <c r="M27" i="4"/>
  <c r="N24" i="4"/>
  <c r="M24" i="4"/>
  <c r="M35" i="4"/>
  <c r="N25" i="4"/>
  <c r="M25" i="4"/>
  <c r="M21" i="4"/>
  <c r="F22" i="4"/>
  <c r="D22" i="4"/>
  <c r="L22" i="4"/>
  <c r="C6" i="38" l="1"/>
  <c r="C6" i="36"/>
  <c r="C6" i="37"/>
  <c r="G6" i="33"/>
  <c r="AO122" i="4"/>
  <c r="G6" i="14"/>
  <c r="C5" i="38"/>
  <c r="C5" i="37"/>
  <c r="C5" i="36"/>
  <c r="G5" i="14"/>
  <c r="AO22" i="4"/>
  <c r="U100" i="4"/>
  <c r="P100" i="4"/>
  <c r="P101" i="4" s="1"/>
  <c r="R100" i="4"/>
  <c r="S100" i="4"/>
  <c r="Q100" i="4"/>
  <c r="W100" i="4"/>
  <c r="P122" i="4"/>
  <c r="P124" i="4" s="1"/>
  <c r="D9" i="34"/>
  <c r="L124" i="4"/>
  <c r="AO124" i="4" s="1"/>
  <c r="D124" i="4"/>
  <c r="F124" i="4"/>
  <c r="N35" i="4"/>
  <c r="M122" i="4"/>
  <c r="M22" i="4"/>
  <c r="N99" i="4"/>
  <c r="I16" i="4"/>
  <c r="N16" i="4" s="1"/>
  <c r="I21" i="4"/>
  <c r="N21" i="4" s="1"/>
  <c r="I14" i="4"/>
  <c r="N14" i="4" s="1"/>
  <c r="I12" i="4"/>
  <c r="N12" i="4" s="1"/>
  <c r="I13" i="4"/>
  <c r="N13" i="4" s="1"/>
  <c r="I15" i="4"/>
  <c r="N15" i="4" s="1"/>
  <c r="I11" i="4"/>
  <c r="K11" i="4" s="1"/>
  <c r="M6" i="4"/>
  <c r="M7" i="4"/>
  <c r="M8" i="4"/>
  <c r="M9" i="4"/>
  <c r="M10" i="4"/>
  <c r="M11" i="4"/>
  <c r="M14" i="4"/>
  <c r="M12" i="4"/>
  <c r="M13" i="4"/>
  <c r="M15" i="4"/>
  <c r="M16" i="4"/>
  <c r="M5" i="4"/>
  <c r="I2" i="4"/>
  <c r="I105" i="4" s="1"/>
  <c r="I122" i="4" s="1"/>
  <c r="C9" i="37" l="1"/>
  <c r="C9" i="36"/>
  <c r="C9" i="33"/>
  <c r="G9" i="33" s="1"/>
  <c r="G5" i="33"/>
  <c r="C9" i="38"/>
  <c r="R124" i="4"/>
  <c r="C9" i="14"/>
  <c r="C9" i="34"/>
  <c r="D7" i="34"/>
  <c r="C8" i="34"/>
  <c r="D8" i="34"/>
  <c r="M124" i="4"/>
  <c r="N105" i="4"/>
  <c r="N11" i="4"/>
  <c r="F15" i="34" l="1"/>
  <c r="F16" i="34" s="1"/>
  <c r="D6" i="34"/>
  <c r="D10" i="34" s="1"/>
  <c r="N122" i="4"/>
  <c r="N10" i="4"/>
  <c r="K10" i="4"/>
  <c r="N8" i="4"/>
  <c r="K8" i="4"/>
  <c r="K6" i="4"/>
  <c r="N6" i="4"/>
  <c r="I22" i="4"/>
  <c r="N5" i="4"/>
  <c r="K5" i="4"/>
  <c r="N7" i="4"/>
  <c r="K7" i="4"/>
  <c r="K9" i="4"/>
  <c r="N9" i="4"/>
  <c r="F9" i="14"/>
  <c r="F17" i="34" l="1"/>
  <c r="E15" i="34"/>
  <c r="E16" i="34" s="1"/>
  <c r="G9" i="14"/>
  <c r="I124" i="4"/>
  <c r="N124" i="4" s="1"/>
  <c r="C7" i="34"/>
  <c r="N22" i="4"/>
  <c r="E17" i="34" l="1"/>
  <c r="E9" i="14"/>
  <c r="L147" i="5"/>
  <c r="L350" i="5"/>
  <c r="C12" i="38" s="1"/>
  <c r="N144" i="5"/>
  <c r="L148" i="5"/>
  <c r="M144" i="5"/>
  <c r="M143" i="5"/>
  <c r="N143" i="5"/>
  <c r="C6" i="34" l="1"/>
  <c r="C10" i="34" s="1"/>
  <c r="C12" i="36"/>
  <c r="C12" i="37"/>
  <c r="G12" i="33"/>
  <c r="E16" i="14"/>
  <c r="H9" i="14"/>
  <c r="L353" i="5"/>
  <c r="C14" i="38" s="1"/>
  <c r="C15" i="38" s="1"/>
  <c r="AL148" i="5"/>
  <c r="L351" i="5"/>
  <c r="C13" i="38" s="1"/>
  <c r="AL147" i="5"/>
  <c r="G12" i="14"/>
  <c r="AL350" i="5"/>
  <c r="O43" i="5"/>
  <c r="O103" i="5"/>
  <c r="O146" i="5"/>
  <c r="O240" i="5"/>
  <c r="O336" i="5"/>
  <c r="O37" i="5"/>
  <c r="O96" i="5"/>
  <c r="O136" i="5"/>
  <c r="O203" i="5"/>
  <c r="O324" i="5"/>
  <c r="O31" i="5"/>
  <c r="O84" i="5"/>
  <c r="O131" i="5"/>
  <c r="O179" i="5"/>
  <c r="O23" i="5"/>
  <c r="O70" i="5"/>
  <c r="O117" i="5"/>
  <c r="O155" i="5"/>
  <c r="O247" i="5"/>
  <c r="O311" i="5"/>
  <c r="N350" i="5"/>
  <c r="M350" i="5"/>
  <c r="M357" i="5"/>
  <c r="M146" i="5"/>
  <c r="N146" i="5"/>
  <c r="M148" i="5"/>
  <c r="N148" i="5"/>
  <c r="M147" i="5"/>
  <c r="N147" i="5"/>
  <c r="E21" i="33" l="1"/>
  <c r="C25" i="38"/>
  <c r="C17" i="38"/>
  <c r="C13" i="36"/>
  <c r="C13" i="37"/>
  <c r="C14" i="36"/>
  <c r="C15" i="36" s="1"/>
  <c r="C25" i="36" s="1"/>
  <c r="C14" i="37"/>
  <c r="C15" i="37" s="1"/>
  <c r="G13" i="33"/>
  <c r="G14" i="33"/>
  <c r="M353" i="5"/>
  <c r="M351" i="5"/>
  <c r="G13" i="14"/>
  <c r="AL353" i="5"/>
  <c r="AL351" i="5"/>
  <c r="N353" i="5"/>
  <c r="N351" i="5"/>
  <c r="L355" i="5"/>
  <c r="AL355" i="5" s="1"/>
  <c r="D12" i="34"/>
  <c r="D11" i="34"/>
  <c r="F14" i="14"/>
  <c r="D13" i="34" l="1"/>
  <c r="C17" i="34"/>
  <c r="C15" i="34"/>
  <c r="C16" i="34" s="1"/>
  <c r="C17" i="36"/>
  <c r="C25" i="37"/>
  <c r="C17" i="37"/>
  <c r="C15" i="33"/>
  <c r="C17" i="33" s="1"/>
  <c r="C14" i="14"/>
  <c r="G14" i="14" s="1"/>
  <c r="F16" i="14"/>
  <c r="H14" i="14"/>
  <c r="D17" i="34"/>
  <c r="G15" i="33" l="1"/>
  <c r="C16" i="14"/>
  <c r="C25" i="14" l="1"/>
  <c r="C20" i="33"/>
  <c r="C23" i="33" s="1"/>
  <c r="C25" i="33" s="1"/>
  <c r="E20" i="33"/>
  <c r="E23" i="33" s="1"/>
  <c r="E25" i="33" s="1"/>
  <c r="E25" i="14"/>
  <c r="F20" i="33"/>
  <c r="F23" i="33" s="1"/>
  <c r="F25" i="33" s="1"/>
  <c r="F25" i="14"/>
  <c r="EF203" i="5"/>
  <c r="EF350" i="5" s="1"/>
  <c r="EF355" i="5" s="1"/>
  <c r="EF1" i="5" s="1"/>
  <c r="EE183" i="5"/>
  <c r="EG183" i="5"/>
  <c r="EG203" i="5" l="1"/>
  <c r="EG350" i="5" s="1"/>
  <c r="EG355" i="5" s="1"/>
  <c r="EG1" i="5" s="1"/>
  <c r="EG357" i="5"/>
  <c r="F12" i="63" l="1"/>
  <c r="D11" i="70" s="1"/>
  <c r="D13" i="70" s="1"/>
  <c r="HE355" i="5"/>
  <c r="HF355" i="5" s="1"/>
  <c r="HE1" i="5" l="1"/>
  <c r="D11" i="65"/>
  <c r="D13" i="65" s="1"/>
  <c r="F14" i="63"/>
  <c r="D11" i="62"/>
  <c r="D13" i="62" s="1"/>
  <c r="H12" i="63"/>
  <c r="G12" i="63"/>
  <c r="H14" i="63" l="1"/>
  <c r="G14" i="63"/>
  <c r="FD27" i="4" l="1"/>
  <c r="FD35" i="4" s="1"/>
  <c r="FE27" i="4" l="1"/>
  <c r="F8" i="63" l="1"/>
  <c r="D9" i="70" s="1"/>
  <c r="D10" i="70" s="1"/>
  <c r="D17" i="70" s="1"/>
  <c r="FD124" i="4"/>
  <c r="FD1" i="4" l="1"/>
  <c r="FE124" i="4"/>
  <c r="H8" i="63"/>
  <c r="D9" i="65"/>
  <c r="D10" i="65" s="1"/>
  <c r="D17" i="65" s="1"/>
  <c r="G8" i="63"/>
  <c r="D9" i="62"/>
  <c r="D10" i="62" s="1"/>
  <c r="D17" i="62" s="1"/>
  <c r="F9" i="63"/>
  <c r="H9" i="63" l="1"/>
  <c r="G9" i="63"/>
  <c r="F29" i="63"/>
  <c r="F16" i="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Koštanský</author>
  </authors>
  <commentList>
    <comment ref="F19" authorId="0" shapeId="0" xr:uid="{C78BAAED-DCF4-47B9-A58C-BBB1A194944E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úvěr na financování výstavby DS</t>
        </r>
      </text>
    </comment>
    <comment ref="F26" authorId="0" shapeId="0" xr:uid="{9CDED68B-C61A-4551-9F6E-2CA4B15745E2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splátky jistiny úvěru na traktor KIOTI 241.000,- do 31.3.2029 a jistiny úvěru DS 8.534.350,- do 31.12.2026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Koštanský</author>
  </authors>
  <commentList>
    <comment ref="F19" authorId="0" shapeId="0" xr:uid="{EFC496E3-38A9-4258-95F1-2E7C453E52FD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úvěr na financování výstavby DS</t>
        </r>
      </text>
    </comment>
    <comment ref="F20" authorId="0" shapeId="0" xr:uid="{3A685C11-7DFB-4AD7-B625-90238B06D8F4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splácení jistiny úvěru na výstavbu DS</t>
        </r>
      </text>
    </comment>
    <comment ref="F26" authorId="0" shapeId="0" xr:uid="{16D25F2F-C345-47A8-9557-BB6D0DD727B4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splátky jistiny úvěru na traktor KIOTI do 31.3.2029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Koštanský</author>
  </authors>
  <commentList>
    <comment ref="F19" authorId="0" shapeId="0" xr:uid="{75C3F2BC-5376-4DBA-9D3A-B00035C5E75E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úvěr na financování výstavby DS</t>
        </r>
      </text>
    </comment>
    <comment ref="F20" authorId="0" shapeId="0" xr:uid="{3AFE73CA-10C9-40B0-98E3-5AE7EC9D23A1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splácení jistiny úvěru na výstavbu DS</t>
        </r>
      </text>
    </comment>
    <comment ref="F26" authorId="0" shapeId="0" xr:uid="{2F63987C-98E7-4283-B6B4-A42EC178C8D7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splátky jistiny úvěru na traktor KIOTI do 31.3.2029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Koštanský</author>
  </authors>
  <commentList>
    <comment ref="F19" authorId="0" shapeId="0" xr:uid="{1DA301B1-125A-476A-9D6E-54AF38008D69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úvěr na financování výstavby DS</t>
        </r>
      </text>
    </comment>
    <comment ref="F20" authorId="0" shapeId="0" xr:uid="{EB5E66CD-8788-4F66-9E7F-F6227CC1007A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splácení jistiny úvěru na výstavbu DS</t>
        </r>
      </text>
    </comment>
    <comment ref="F26" authorId="0" shapeId="0" xr:uid="{D46BBD1B-818C-486E-AC49-B8DDA74E3E46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splátky jistiny úvěru na traktor KIOTI do 31.3.2029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Koštanský</author>
  </authors>
  <commentList>
    <comment ref="F19" authorId="0" shapeId="0" xr:uid="{0CDC475E-A777-47DF-A4FF-F979DADAAFCE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úvěr na financování výstavby DS</t>
        </r>
      </text>
    </comment>
    <comment ref="F20" authorId="0" shapeId="0" xr:uid="{71A5D338-33B4-4825-9B89-D3928055D5CA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splácení jistiny úvěru na výstavbu DS</t>
        </r>
      </text>
    </comment>
    <comment ref="F26" authorId="0" shapeId="0" xr:uid="{62DD0C83-0344-41A4-ACB8-B37F74A5F2DB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splátky jistiny úvěru na traktor KIOTI do 31.3.2029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Koštanský</author>
    <author>Obec Ondratice</author>
    <author>Ondratice</author>
    <author>tc={DAC59FBD-B748-4675-AB1D-1D5FF2885DA8}</author>
  </authors>
  <commentList>
    <comment ref="EK9" authorId="0" shapeId="0" xr:uid="{10543D20-D234-4BFA-9023-D292A2A3842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stejná částka jde i do výdajů</t>
        </r>
      </text>
    </comment>
    <comment ref="FD9" authorId="0" shapeId="0" xr:uid="{5D2EC2BA-95E3-43ED-837D-42FD977CA4E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stejná částka jde i do výdajů</t>
        </r>
      </text>
    </comment>
    <comment ref="BO12" authorId="1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spočítat - odhadnout psy
</t>
        </r>
      </text>
    </comment>
    <comment ref="EK12" authorId="0" shapeId="0" xr:uid="{B4BC5C8D-B67D-4979-8EE3-6DE9E3E4D2C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79 psů  krát 200,-</t>
        </r>
      </text>
    </comment>
    <comment ref="FD12" authorId="0" shapeId="0" xr:uid="{0332C200-F699-41A7-BA1B-E30DC482D36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79 psů  krát 200,-</t>
        </r>
      </text>
    </comment>
    <comment ref="AN14" authorId="1" shapeId="0" xr:uid="{00000000-0006-0000-0B00-00000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předpokládaných 315 poplatníků</t>
        </r>
      </text>
    </comment>
    <comment ref="BO14" authorId="1" shapeId="0" xr:uid="{00000000-0006-0000-0B00-00000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předpoklad: 333 poplatníků</t>
        </r>
      </text>
    </comment>
    <comment ref="CR14" authorId="1" shapeId="0" xr:uid="{00000000-0006-0000-0B00-00000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333 platících poplatníků</t>
        </r>
      </text>
    </comment>
    <comment ref="DU14" authorId="0" shapeId="0" xr:uid="{906F1036-11B8-4362-ADA6-735F854239D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335 platících poplatníků krát 900,- Kč</t>
        </r>
      </text>
    </comment>
    <comment ref="EK14" authorId="0" shapeId="0" xr:uid="{B10EC242-434D-4275-80D3-1B8B29AE94D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330 platících poplatníků krát 900,- Kč</t>
        </r>
      </text>
    </comment>
    <comment ref="FD14" authorId="0" shapeId="0" xr:uid="{DBEBCFDB-8EA3-439D-809B-D69637FA2F0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změna způsobu plaby: popaltek zo rok 2026 bude vybrán až v únoru 2027</t>
        </r>
      </text>
    </comment>
    <comment ref="CR24" authorId="1" shapeId="0" xr:uid="{00000000-0006-0000-0B00-00000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na volbu prezidenta</t>
        </r>
      </text>
    </comment>
    <comment ref="DU24" authorId="0" shapeId="0" xr:uid="{A303C7E1-467A-41E5-B885-801C339465B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příspěvky na volby</t>
        </r>
      </text>
    </comment>
    <comment ref="EC24" authorId="0" shapeId="0" xr:uid="{731E168A-BE38-46AE-B0A7-5B2AB31C842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na volby</t>
        </r>
      </text>
    </comment>
    <comment ref="BZ25" authorId="2" shapeId="0" xr:uid="{00000000-0006-0000-0B00-000006000000}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OL kraj: žádám Vás o opravu příspěvku na výkon státní správy pol. 4112. V rozpočtu máte částku ve výši 82 800,- kč, dle rozpisového dopisu Vám byla schválena částka ve výši 83 000,- Kč</t>
        </r>
      </text>
    </comment>
    <comment ref="CR25" authorId="1" shapeId="0" xr:uid="{00000000-0006-0000-0B00-00000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příspěvek na výkon státní správy</t>
        </r>
      </text>
    </comment>
    <comment ref="DU25" authorId="1" shapeId="0" xr:uid="{D1F26010-EFF2-489E-87B6-C2FFDF87CA1A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příspěvek na výkon státní správy</t>
        </r>
      </text>
    </comment>
    <comment ref="EK25" authorId="0" shapeId="0" xr:uid="{A5844E68-5770-4D87-BFF7-2D63717FDEC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na státní správu</t>
        </r>
      </text>
    </comment>
    <comment ref="FD25" authorId="0" shapeId="0" xr:uid="{0A0B0879-7ED1-4DA2-A376-02A4F5C325F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na státní správu</t>
        </r>
      </text>
    </comment>
    <comment ref="BO27" authorId="1" shapeId="0" xr:uid="{00000000-0006-0000-0B00-00000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1.145.471,- dotace MMR na střechu č.p.31 (NEINV)</t>
        </r>
      </text>
    </comment>
    <comment ref="DD27" authorId="0" shapeId="0" xr:uid="{0EBD5EEA-205A-42AE-A8A1-F3649236CF7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na VPP</t>
        </r>
      </text>
    </comment>
    <comment ref="DU27" authorId="0" shapeId="0" xr:uid="{E54E8BE9-71B0-4D73-8141-A9440CD5EA5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VPP</t>
        </r>
      </text>
    </comment>
    <comment ref="DZ27" authorId="0" shapeId="0" xr:uid="{86707401-9A5C-4864-96EF-47657B25065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Suchánková - NOE</t>
        </r>
      </text>
    </comment>
    <comment ref="EK27" authorId="0" shapeId="0" xr:uid="{C0C260E9-AE56-4FCF-A3D4-EC5BF39E1C2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příspěek ÚP na pracovníka</t>
        </r>
      </text>
    </comment>
    <comment ref="EM27" authorId="0" shapeId="0" xr:uid="{C93C6C8D-CD09-4837-A471-3E41BC62AB0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 6x 10.436,-  měsíční příspěvek na pracovnníka VPP</t>
        </r>
      </text>
    </comment>
    <comment ref="EY27" authorId="0" shapeId="0" xr:uid="{A0D427F8-2192-403E-B3D4-ED1319339C57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snížení příspěvku na VPP</t>
        </r>
      </text>
    </comment>
    <comment ref="FD27" authorId="0" shapeId="0" xr:uid="{9B2A0898-5E0A-49B5-9282-FCD303BEC33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příspěvky MPSV na DS
příspěvek ÚP na pracovníka</t>
        </r>
      </text>
    </comment>
    <comment ref="DU28" authorId="0" shapeId="0" xr:uid="{327F5FD5-B798-4BAD-8909-8135D6112CB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100.000,- Dotace Obchůdek z OL kraje</t>
        </r>
      </text>
    </comment>
    <comment ref="EK28" authorId="0" shapeId="0" xr:uid="{F8CDAF33-9980-43B0-BA94-36D548F7A5E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z Olkraje (obchůdek, JSDH, individuál)</t>
        </r>
      </text>
    </comment>
    <comment ref="EM28" authorId="0" shapeId="0" xr:uid="{0BAB1212-7EC9-4423-A19C-43C96687368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100.000,- obchůdek
19.400,- JSDH</t>
        </r>
      </text>
    </comment>
    <comment ref="EV28" authorId="0" shapeId="0" xr:uid="{A1D60018-6363-45ED-A667-7B175B799EB0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Dar OL kraje</t>
        </r>
      </text>
    </comment>
    <comment ref="FD28" authorId="0" shapeId="0" xr:uid="{9271A016-D7AC-49C2-840B-A6698046272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z Olkraje (obchůdek, JSDH, individuál)</t>
        </r>
      </text>
    </comment>
    <comment ref="DA29" authorId="3" shapeId="0" xr:uid="{DAC59FBD-B748-4675-AB1D-1D5FF2885DA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z MMR - dětské hřiště</t>
      </text>
    </comment>
    <comment ref="CR31" authorId="1" shapeId="0" xr:uid="{00000000-0006-0000-0B00-00000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241.888,89 schválená dotace na alej do pískovny - očekávané inkaso do konce března 2023
</t>
        </r>
      </text>
    </comment>
    <comment ref="EK31" authorId="0" shapeId="0" xr:uid="{A32340F0-3D58-4B2B-93BB-EC80A998813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dotace na výstavbu DS</t>
        </r>
      </text>
    </comment>
    <comment ref="EM31" authorId="0" shapeId="0" xr:uid="{E27A1924-0996-4371-9532-02A4DEEFD4F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potvrzená dotace na výstavbu DS</t>
        </r>
      </text>
    </comment>
    <comment ref="EP32" authorId="0" shapeId="0" xr:uid="{1CB133E8-74F8-4FCD-8618-3F8E224491B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přijatá dotace na DS</t>
        </r>
      </text>
    </comment>
    <comment ref="FD32" authorId="0" shapeId="0" xr:uid="{375F355C-C56E-4EE9-8E8A-D69C735B6AFF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dotace na výstavbu DS:
II.etapa 6.778.699,12 příjde do konce června
III-etapa  3.558.371,55 přijde do konce listopadu
</t>
        </r>
      </text>
    </comment>
    <comment ref="FD33" authorId="0" shapeId="0" xr:uid="{19962E1E-D188-4206-A10A-053525850D2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dle vyjádření auditu (Reková) patří celé příjm y na dotaci DS na 4216)</t>
        </r>
      </text>
    </comment>
    <comment ref="Z37" authorId="1" shapeId="0" xr:uid="{00000000-0006-0000-0B00-00000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AD37" authorId="1" shapeId="0" xr:uid="{00000000-0006-0000-0B00-00000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AH37" authorId="1" shapeId="0" xr:uid="{00000000-0006-0000-0B00-00000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BO37" authorId="1" shapeId="0" xr:uid="{00000000-0006-0000-0B00-00000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zemědělské pachty</t>
        </r>
      </text>
    </comment>
    <comment ref="DU37" authorId="0" shapeId="0" xr:uid="{8324BF84-B23A-4BBA-B975-32EBF7E4968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zemědělské pachty vč.DPH</t>
        </r>
      </text>
    </comment>
    <comment ref="DU40" authorId="0" shapeId="0" xr:uid="{892FC744-A508-47A0-87A5-9FFAFBFD884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výnos z úhrady dle báňského úřadu</t>
        </r>
      </text>
    </comment>
    <comment ref="EG40" authorId="0" shapeId="0" xr:uid="{3C9ED9DF-4952-4B4F-A4CF-EEEB5ACF80C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výnos, co posílá báňský úřad</t>
        </r>
      </text>
    </comment>
    <comment ref="DU41" authorId="0" shapeId="0" xr:uid="{63F3D6AD-FF75-4C63-AD9A-CED8A5612A6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pachtovné za 44t písku z pískovny
</t>
        </r>
      </text>
    </comment>
    <comment ref="EG41" authorId="0" shapeId="0" xr:uid="{53DCDBFF-3847-478B-82B3-BFB0AEAECF7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pachtovné za vytěžené tuny</t>
        </r>
      </text>
    </comment>
    <comment ref="EK41" authorId="0" shapeId="0" xr:uid="{0A64C3DD-B23B-4829-B9FA-9F818E4C2BC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započten infl.koeficient ze smlouvy</t>
        </r>
      </text>
    </comment>
    <comment ref="FD41" authorId="0" shapeId="0" xr:uid="{54895F1A-F052-4DA9-B2F0-AC7677EAD89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započten infl.koeficient ze smlouvy</t>
        </r>
      </text>
    </comment>
    <comment ref="DZ51" authorId="0" shapeId="0" xr:uid="{972AD1CB-18B9-470F-B2C0-ED1CA00F233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vyúčtování plynu knihovna</t>
        </r>
      </text>
    </comment>
    <comment ref="EK51" authorId="0" shapeId="0" xr:uid="{95309E08-DD83-4298-8493-6C2C36E4949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FD51" authorId="0" shapeId="0" xr:uid="{A87EA0D2-947F-4FF4-93EC-C62BC1F5CB2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FD53" authorId="0" shapeId="0" xr:uid="{EA67A0B5-CEC4-48C2-9D9E-3A347CBF542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příspěvky rodičů na DS</t>
        </r>
      </text>
    </comment>
    <comment ref="DS56" authorId="0" shapeId="0" xr:uid="{E3C4A985-8547-4E8E-8BD8-80C8A35F2C9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FA za naše práce na dětském hřišti
</t>
        </r>
      </text>
    </comment>
    <comment ref="EI59" authorId="0" shapeId="0" xr:uid="{9D7A63FE-5773-4861-804E-084DFB1E47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SOKOL pronájem herny</t>
        </r>
      </text>
    </comment>
    <comment ref="EK59" authorId="0" shapeId="0" xr:uid="{D1C55C97-3BFC-4C0C-8FCC-AA33DB8AC35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SOKOL pronájem herny</t>
        </r>
      </text>
    </comment>
    <comment ref="FB59" authorId="0" shapeId="0" xr:uid="{99EFB14D-4BAA-4D60-95D4-BA73925993A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SOKOL pronájem herny</t>
        </r>
      </text>
    </comment>
    <comment ref="FD59" authorId="0" shapeId="0" xr:uid="{53919793-DB2F-4359-BF5A-8606FA14FFD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SOKOL pronájem herny</t>
        </r>
      </text>
    </comment>
    <comment ref="DZ60" authorId="0" shapeId="0" xr:uid="{0CD8A636-27DC-44A5-A038-9CC7883B8AF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vyúčtování plynu SOKOL</t>
        </r>
      </text>
    </comment>
    <comment ref="EI60" authorId="0" shapeId="0" xr:uid="{9F107611-391F-4946-9CFA-F23D231B7A7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přeplatek energie</t>
        </r>
      </text>
    </comment>
    <comment ref="EK60" authorId="0" shapeId="0" xr:uid="{5117D995-28B4-4A79-801B-55B04838539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FB60" authorId="0" shapeId="0" xr:uid="{E47FC429-A57D-4A72-8632-E0E66B74936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přeplatek energie</t>
        </r>
      </text>
    </comment>
    <comment ref="FD60" authorId="0" shapeId="0" xr:uid="{4EC579B0-B7A3-4253-AE3F-F4327BF8BAA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EK64" authorId="0" shapeId="0" xr:uid="{CA47DEC6-3117-4EEA-B10A-BA4A74C5B3B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žadatelé o změnu územního plánu zapaltí spoelčně komplet náklady na tuto zmenu - provázáno s výdajem 3636/5169</t>
        </r>
      </text>
    </comment>
    <comment ref="FD64" authorId="0" shapeId="0" xr:uid="{8BE63FC4-744C-4402-8D97-2049F7F6868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žadatelé o změnu územního plánu zapaltí spoelčně komplet náklady na tuto zmenu - provázáno s výdajem 3636/5169</t>
        </r>
      </text>
    </comment>
    <comment ref="BO67" authorId="1" shapeId="0" xr:uid="{00000000-0006-0000-0B00-00000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83.111,- podíly účastníků Z5 na nákladech  (Gp + katastr)
</t>
        </r>
      </text>
    </comment>
    <comment ref="DU71" authorId="0" shapeId="0" xr:uid="{47006233-7607-4FFB-A5BB-8F7ADB48D98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EKO-KOM</t>
        </r>
      </text>
    </comment>
    <comment ref="EI71" authorId="0" shapeId="0" xr:uid="{F11A1C15-3DB9-4354-8D76-3FE09567965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EKO-KOM
</t>
        </r>
      </text>
    </comment>
    <comment ref="EK71" authorId="0" shapeId="0" xr:uid="{07FF9CA9-A1F3-4003-A3BD-FBD7A1F28C0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EKO-KOM</t>
        </r>
      </text>
    </comment>
    <comment ref="FB71" authorId="0" shapeId="0" xr:uid="{7C7BC331-3486-478D-906C-3A7E47C456B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EKO-KOM
</t>
        </r>
      </text>
    </comment>
    <comment ref="FD71" authorId="0" shapeId="0" xr:uid="{41269137-18F5-4AB1-9846-1FA91A3A761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EKO-KOM</t>
        </r>
      </text>
    </comment>
    <comment ref="BO76" authorId="1" shapeId="0" xr:uid="{00000000-0006-0000-0B00-00000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150.000,- odhadovaný výnos z prodeje traktoru</t>
        </r>
      </text>
    </comment>
    <comment ref="CR76" authorId="1" shapeId="0" xr:uid="{00000000-0006-0000-0B00-00001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prodej traktoru VEGA</t>
        </r>
      </text>
    </comment>
    <comment ref="EK76" authorId="0" shapeId="0" xr:uid="{EE638642-7D5A-4775-9ACB-D87A8F2BD20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prodej nadbytečné zahradní techniky</t>
        </r>
      </text>
    </comment>
    <comment ref="FD76" authorId="0" shapeId="0" xr:uid="{ABE804F3-1A62-41F2-9EFB-0E99FE0F814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prodej nadbytečné zahradní techniky</t>
        </r>
      </text>
    </comment>
    <comment ref="DS77" authorId="0" shapeId="0" xr:uid="{5C83D105-AEEA-4DDA-BD23-84433949BF5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vratka pojistného za prodaný traktor</t>
        </r>
      </text>
    </comment>
    <comment ref="DU83" authorId="0" shapeId="0" xr:uid="{3D2492DE-C0D5-40A7-A73B-F36B98665FA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pronájem hasičárny a obecního sálu</t>
        </r>
      </text>
    </comment>
    <comment ref="DU88" authorId="0" shapeId="0" xr:uid="{C0406749-8612-449F-B9F2-E6E5025E922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komerční vysílání rozhlasu pro kopírování dokumentů</t>
        </r>
      </text>
    </comment>
    <comment ref="DS89" authorId="0" shapeId="0" xr:uid="{22C3CB4F-E442-461F-9146-01734F9AB72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prodej popelnice</t>
        </r>
      </text>
    </comment>
    <comment ref="DU90" authorId="0" shapeId="0" xr:uid="{2CCAA648-29E6-4342-A340-2E688A12A79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úhrady věcných břemen</t>
        </r>
      </text>
    </comment>
    <comment ref="FD90" authorId="0" shapeId="0" xr:uid="{EC6AC911-97D6-4D3C-86CB-575A623CAF9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na výstavbu plotu k pozemku po Poláchovi
</t>
        </r>
      </text>
    </comment>
    <comment ref="Z92" authorId="1" shapeId="0" xr:uid="{00000000-0006-0000-0B00-00001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AD92" authorId="1" shapeId="0" xr:uid="{00000000-0006-0000-0B00-00001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AH92" authorId="1" shapeId="0" xr:uid="{00000000-0006-0000-0B00-00001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BO92" authorId="1" shapeId="0" xr:uid="{00000000-0006-0000-0B00-00001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
+kiosek</t>
        </r>
      </text>
    </comment>
    <comment ref="DU92" authorId="0" shapeId="0" xr:uid="{D71F03A6-814C-485E-B055-3F323A1403B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nájem části pozemku Ing.Černý</t>
        </r>
      </text>
    </comment>
    <comment ref="BO93" authorId="1" shapeId="0" xr:uid="{00000000-0006-0000-0B00-00001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pronájem pískovny + sály
SOKOL</t>
        </r>
      </text>
    </comment>
    <comment ref="DU93" authorId="0" shapeId="0" xr:uid="{7CBAB0F9-F6ED-400A-95B2-F4EFC8827E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pr0nájem ping-pong herny Sokolům, zkušebny J.Kvapil a posilovny
</t>
        </r>
      </text>
    </comment>
    <comment ref="DU94" authorId="0" shapeId="0" xr:uid="{5FA41AFF-97AC-46D5-A5F7-C6BD37A3607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pronájem obecní techniky</t>
        </r>
      </text>
    </comment>
    <comment ref="DZ96" authorId="0" shapeId="0" xr:uid="{FB45FE63-3FB0-4C1C-B016-53E8C357F96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vyúčtování plynu OÚ</t>
        </r>
      </text>
    </comment>
    <comment ref="EK96" authorId="0" shapeId="0" xr:uid="{6D6C8713-BAA1-4700-A6B9-A15631ED9B7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FD96" authorId="0" shapeId="0" xr:uid="{B982C24C-B0BD-4E87-B3AA-0372300B165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přeplatky energií</t>
        </r>
      </text>
    </comment>
    <comment ref="BO97" authorId="1" shapeId="0" xr:uid="{00000000-0006-0000-0B00-00001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narovnávání hranic pozemků</t>
        </r>
      </text>
    </comment>
    <comment ref="CR97" authorId="1" shapeId="0" xr:uid="{00000000-0006-0000-0B00-00001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narovnávání hranic pozermků</t>
        </r>
      </text>
    </comment>
    <comment ref="DU97" authorId="0" shapeId="0" xr:uid="{6F9FD20B-BF29-45BC-ACA5-32EFDE2FE75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nezemědělské se počítají bez DPH</t>
        </r>
      </text>
    </comment>
    <comment ref="EF97" authorId="0" shapeId="0" xr:uid="{826E0716-8597-4E69-B117-B8953BA80AB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Loderovi - 81.474,- parc.č. 834/8 a 1059
</t>
        </r>
      </text>
    </comment>
    <comment ref="EK97" authorId="0" shapeId="0" xr:uid="{4ABD7A2B-14A1-45F3-BA5A-FA2FD5C51AE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Loderovi - 81.474,- parc.č. 834/8 a 1059</t>
        </r>
      </text>
    </comment>
    <comment ref="FD97" authorId="0" shapeId="0" xr:uid="{C0E7F2DD-EF85-4011-B31E-4C9B7BC2EDD8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pozemek 44/9 - po Poláchovi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Obec Ondratice</author>
    <author>Bob Koštanský</author>
    <author>tc={BC6A9948-9CA0-4F4F-BBB7-163E0CC5C10F}</author>
    <author>Ondratice</author>
  </authors>
  <commentList>
    <comment ref="C8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myslivci</t>
        </r>
      </text>
    </comment>
    <comment ref="EY9" authorId="1" shapeId="0" xr:uid="{D4142BF0-39CE-414D-B629-D36474420E3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DSO projekt místní obnovitelné koncepce</t>
        </r>
      </text>
    </comment>
    <comment ref="AK12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pasport komunikací</t>
        </r>
      </text>
    </comment>
    <comment ref="DC12" authorId="0" shapeId="0" xr:uid="{00000000-0006-0000-0C00-00000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oprava povrchů cest</t>
        </r>
      </text>
    </comment>
    <comment ref="C13" authorId="0" shapeId="0" xr:uid="{00000000-0006-0000-0C00-00000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 M01 Chaloupky</t>
        </r>
      </text>
    </comment>
    <comment ref="AK13" authorId="0" shapeId="0" xr:uid="{00000000-0006-0000-0C00-00000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mostní provizorium (pořízní + nájem od 1.5.)
</t>
        </r>
      </text>
    </comment>
    <comment ref="BE13" authorId="0" shapeId="0" xr:uid="{00000000-0006-0000-0C00-00000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550.000,- na opravu cesty ke křížku + 50.000,- oprava výtluků cesty ke křížku
</t>
        </r>
      </text>
    </comment>
    <comment ref="BH13" authorId="0" shapeId="0" xr:uid="{00000000-0006-0000-0C00-00000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550.000,- na opravu cesty ke křížku + 50.000,- oprava výtluků cesty ke křížku
</t>
        </r>
      </text>
    </comment>
    <comment ref="BM13" authorId="0" shapeId="0" xr:uid="{00000000-0006-0000-0C00-00000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30.000.- oprava výtluků
100.000,- srážka na konci Kozizólu + zatrubnění
</t>
        </r>
      </text>
    </comment>
    <comment ref="EK13" authorId="1" shapeId="0" xr:uid="{7373AF9F-AAF2-42B5-A4B8-1BA7132BD71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opravy výtlluků + srážka na cestě do Kozizólu
vč.posyp materiálu na zimu</t>
        </r>
      </text>
    </comment>
    <comment ref="FV13" authorId="1" shapeId="0" xr:uid="{41722BA3-524F-44BA-8698-281B99B9B7B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opravy výtlluků + srážka na cestě do Kozizólu
vč.posyp materiálu na zimu</t>
        </r>
      </text>
    </comment>
    <comment ref="GQ13" authorId="1" shapeId="0" xr:uid="{212FE2A2-53A6-40D4-B987-8C4446E33DE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sníženo o opravu cesty ke křížku, která se bude dělat až 2026</t>
        </r>
      </text>
    </comment>
    <comment ref="HE13" authorId="1" shapeId="0" xr:uid="{ACBE84F1-47ED-4D4A-8F1D-4D4C59EC15D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oprava cesty ke křížku
vč.posyp materiálu na zimu</t>
        </r>
      </text>
    </comment>
    <comment ref="C14" authorId="0" shapeId="0" xr:uid="{00000000-0006-0000-0C00-00000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 MO1 Chaloupky</t>
        </r>
      </text>
    </comment>
    <comment ref="L14" authorId="0" shapeId="0" xr:uid="{00000000-0006-0000-0C00-00000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projekt opravy MostuChaloupky</t>
        </r>
      </text>
    </comment>
    <comment ref="AK14" authorId="0" shapeId="0" xr:uid="{00000000-0006-0000-0C00-00000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Hofman - PD M01</t>
        </r>
      </text>
    </comment>
    <comment ref="BM14" authorId="0" shapeId="0" xr:uid="{00000000-0006-0000-0C00-00000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114.460,-  PD oprava mostku NELL projekt</t>
        </r>
      </text>
    </comment>
    <comment ref="DC18" authorId="0" shapeId="0" xr:uid="{00000000-0006-0000-0C00-00000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PD Most Chaloupky</t>
        </r>
      </text>
    </comment>
    <comment ref="EK18" authorId="1" shapeId="0" xr:uid="{533F6146-CE82-4B31-82D6-7073A830FE4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PD mostek Chaloupky</t>
        </r>
      </text>
    </comment>
    <comment ref="FV18" authorId="1" shapeId="0" xr:uid="{4A51E987-02A1-4402-8CE4-ED99552591F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PD oprava Mostku Chaloupky
</t>
        </r>
      </text>
    </comment>
    <comment ref="HE18" authorId="1" shapeId="0" xr:uid="{B43F3D47-BAFB-4797-BB17-F4FFDC2F2CC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PD oprava Mostku Chaloupky
</t>
        </r>
      </text>
    </comment>
    <comment ref="L20" authorId="0" shapeId="0" xr:uid="{00000000-0006-0000-0C00-00000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revitalizace centra 2.etapa
zatím jen projekt - vlastní realizace pouze z dotace</t>
        </r>
      </text>
    </comment>
    <comment ref="AK20" authorId="0" shapeId="0" xr:uid="{00000000-0006-0000-0C00-00000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10.900,- zpracování výběrového řízení na dodavatele opravy chodníků</t>
        </r>
      </text>
    </comment>
    <comment ref="AK26" authorId="0" shapeId="0" xr:uid="{00000000-0006-0000-0C00-00001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dopravní značka ke kruháči</t>
        </r>
      </text>
    </comment>
    <comment ref="EK26" authorId="1" shapeId="0" xr:uid="{71A7160E-72EE-446A-A111-920097D0633F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8x značka zona 30 + příslušenství
</t>
        </r>
      </text>
    </comment>
    <comment ref="FV26" authorId="1" shapeId="0" xr:uid="{D3ED832C-D2F8-4FE5-AFBD-A4A8CC0DA72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8x značka zona 30 + příslušenství
</t>
        </r>
      </text>
    </comment>
    <comment ref="GQ26" authorId="1" shapeId="0" xr:uid="{84A3A6CF-D549-4F69-9AC5-70E2EC9D758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letos už realizovat nebudeme</t>
        </r>
      </text>
    </comment>
    <comment ref="HE26" authorId="1" shapeId="0" xr:uid="{6B9DB496-E4A6-4BAD-9257-374306A769F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8x značka zona 30 + příslušenství
</t>
        </r>
      </text>
    </comment>
    <comment ref="HE33" authorId="1" shapeId="0" xr:uid="{E843EC30-C44E-4FE0-8BF0-257331EA45A8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dle předpisu z OLkraje</t>
        </r>
      </text>
    </comment>
    <comment ref="L40" authorId="0" shapeId="0" xr:uid="{00000000-0006-0000-0C00-00001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závisí na rozhodnutí SKČOV  -  budme prosazovat stejné peníze jako v 2019
</t>
        </r>
      </text>
    </comment>
    <comment ref="AA48" authorId="0" shapeId="0" xr:uid="{00000000-0006-0000-0C00-00001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děti po 6.000,-</t>
        </r>
      </text>
    </comment>
    <comment ref="AE48" authorId="0" shapeId="0" xr:uid="{00000000-0006-0000-0C00-00001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děti po 6.000,-</t>
        </r>
      </text>
    </comment>
    <comment ref="AK48" authorId="0" shapeId="0" xr:uid="{00000000-0006-0000-0C00-00001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rezerva na 2 děti po 6.000,-</t>
        </r>
      </text>
    </comment>
    <comment ref="HE51" authorId="1" shapeId="0" xr:uid="{1CD78E16-4FC0-4C33-BC02-47516FF87E44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ze smlouvy na vnitřní vybvení vše kromě nábytku: 479.200,30
+ 100.000
</t>
        </r>
      </text>
    </comment>
    <comment ref="FV53" authorId="1" shapeId="0" xr:uid="{3016EF28-DDB7-4FBC-9042-1E56C0773488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úroky z čerpáného úvěru na výstavbu DS</t>
        </r>
      </text>
    </comment>
    <comment ref="GF53" authorId="1" shapeId="0" xr:uid="{29392EC0-166E-4EFB-92C4-85E6690B694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1-měsíční PRIBOR + 0,18% - cca 4%</t>
        </r>
      </text>
    </comment>
    <comment ref="GI53" authorId="1" shapeId="0" xr:uid="{86B63863-61CE-449F-8C05-18AD2967727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1-měsíční PRIBOR + 0,18% - cca 4%</t>
        </r>
      </text>
    </comment>
    <comment ref="GL53" authorId="1" shapeId="0" xr:uid="{7397CC0A-A040-4490-B894-E214DC4B426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1-měsíční PRIBOR + 0,18% - cca 4%</t>
        </r>
      </text>
    </comment>
    <comment ref="GO53" authorId="1" shapeId="0" xr:uid="{98CFFF2F-69BD-415F-AEA0-4CCE1F79907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1-měsíční PRIBOR + 0,18% - cca 4%</t>
        </r>
      </text>
    </comment>
    <comment ref="GR53" authorId="1" shapeId="0" xr:uid="{0346DBE5-2C37-4D37-9538-99C335D173B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1-měsíční PRIBOR + 0,18% - cca 4%</t>
        </r>
      </text>
    </comment>
    <comment ref="GU53" authorId="1" shapeId="0" xr:uid="{9D45306E-F1D8-4D9F-AC49-B18C8E3C480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1-měsíční PRIBOR + 0,18% - cca 4%</t>
        </r>
      </text>
    </comment>
    <comment ref="GX53" authorId="1" shapeId="0" xr:uid="{AEAAE251-8D18-446A-92A8-9DA6B722D64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1-měsíční PRIBOR + 0,18% - cca 4%</t>
        </r>
      </text>
    </comment>
    <comment ref="HA53" authorId="1" shapeId="0" xr:uid="{73A63B24-20AE-42A3-B6BB-AE0096214B1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1-měsíční PRIBOR + 0,18% - cca 4%</t>
        </r>
      </text>
    </comment>
    <comment ref="HE53" authorId="1" shapeId="0" xr:uid="{8D14B359-C292-4C24-B8C3-7E2B59CB555F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úroky z čerpáného úvěru na výstavbu DS</t>
        </r>
      </text>
    </comment>
    <comment ref="C56" authorId="0" shapeId="0" xr:uid="{03A2E597-E644-4861-8F3A-81D1DB981C3D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internet, telefony</t>
        </r>
      </text>
    </comment>
    <comment ref="EK62" authorId="1" shapeId="0" xr:uid="{ED2797F0-B611-4CA2-A03D-94C4B14F69A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výstavba objektru Dětské skupiny
169.400,- studie
888.140,- PD + administrace dotace  bude přidáno, až bude ve smlouvě klauzule o dotaci - splou s podpisem SoD schválit i RO
</t>
        </r>
      </text>
    </comment>
    <comment ref="FE62" authorId="1" shapeId="0" xr:uid="{D2D8767B-B694-4C1A-94E0-5D97D85F5C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10.000,- vrátíme v RO</t>
        </r>
      </text>
    </comment>
    <comment ref="FH62" authorId="1" shapeId="0" xr:uid="{1718D4CB-6B90-4C65-8ABE-43A78BDAB3A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40.000,- vrátíme v RO</t>
        </r>
      </text>
    </comment>
    <comment ref="FK62" authorId="1" shapeId="0" xr:uid="{531AB972-F1CF-41F7-8EF5-7D22D727CF8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58.080 vč.SPH - odměna za vysoutěženého dodavatele</t>
        </r>
      </text>
    </comment>
    <comment ref="FV62" authorId="1" shapeId="0" xr:uid="{F6F8FD8F-50CD-4191-A5DA-3B1F5AF8BEA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dle smlouvy o výstavbě s STAVBROS  15 487 633,68 + 460tis odměna agentuře</t>
        </r>
      </text>
    </comment>
    <comment ref="GE62" authorId="1" shapeId="0" xr:uid="{74415D6A-828A-4A56-947A-81AD1820AFF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18.929.548,55 - rozpočet projektu DS
100.000,- rezerva
120.136,- odvody ZPF
5.000,- měsíčně TDI
6.000,- měsíčně koordinátor BOZP
229.048,- polovina odměny agentuře  - vyplacená po obdržení rozhodnutí o poskytnutí dotace - druhá polovina bude vyplacena po té, co bude dotace obci vyplacena - předpokládám dopad do rozpočtu 2026</t>
        </r>
      </text>
    </comment>
    <comment ref="HE62" authorId="1" shapeId="0" xr:uid="{5877921F-0A77-4E33-A8CC-91F9FEB772C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STAVBROS do fakturace:
za výstavbu: 2.694.511,2117  
za vnitřní vybavení (jen nábytek):  586.208,70
vícepráce:  400.000,-
 + 230tis odměna agentuře
</t>
        </r>
      </text>
    </comment>
    <comment ref="HE63" authorId="1" shapeId="0" xr:uid="{31EB30A5-5DCD-47B9-B6B3-A2226052242E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keře, stromy, trávníky</t>
        </r>
      </text>
    </comment>
    <comment ref="BM67" authorId="0" shapeId="0" xr:uid="{00000000-0006-0000-0C00-00001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roční přípsěvek na mladýho Tesárka</t>
        </r>
      </text>
    </comment>
    <comment ref="DC67" authorId="0" shapeId="0" xr:uid="{00000000-0006-0000-0C00-00001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příspěvek Tesárek</t>
        </r>
      </text>
    </comment>
    <comment ref="FV67" authorId="1" shapeId="0" xr:uid="{CB254630-3CF7-43F7-A294-B138D918958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na ml.Tesárka</t>
        </r>
      </text>
    </comment>
    <comment ref="HE67" authorId="1" shapeId="0" xr:uid="{289A6A9B-877E-4F43-878A-915D6D863DB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na ml.Tesárka</t>
        </r>
      </text>
    </comment>
    <comment ref="H72" authorId="0" shapeId="0" xr:uid="{00000000-0006-0000-0C00-00001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kronikářka</t>
        </r>
      </text>
    </comment>
    <comment ref="BM72" authorId="0" shapeId="0" xr:uid="{00000000-0006-0000-0C00-00001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kronika</t>
        </r>
      </text>
    </comment>
    <comment ref="H73" authorId="0" shapeId="0" xr:uid="{00000000-0006-0000-0C00-00001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doplatek za knihu Prostějovsko z nebe - akce L.Černýho</t>
        </r>
      </text>
    </comment>
    <comment ref="L76" authorId="0" shapeId="0" xr:uid="{00000000-0006-0000-0C00-00001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zájezd</t>
        </r>
      </text>
    </comment>
    <comment ref="S76" authorId="0" shapeId="0" xr:uid="{00000000-0006-0000-0C00-00001B000000}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
</t>
        </r>
        <r>
          <rPr>
            <sz val="9"/>
            <color indexed="81"/>
            <rFont val="Tahoma"/>
            <family val="2"/>
            <charset val="238"/>
          </rPr>
          <t>zájezd zrušen</t>
        </r>
      </text>
    </comment>
    <comment ref="Y76" authorId="0" shapeId="0" xr:uid="{00000000-0006-0000-0C00-00001C000000}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
</t>
        </r>
        <r>
          <rPr>
            <sz val="9"/>
            <color indexed="81"/>
            <rFont val="Tahoma"/>
            <family val="2"/>
            <charset val="238"/>
          </rPr>
          <t>zájezd zrušen</t>
        </r>
      </text>
    </comment>
    <comment ref="BM76" authorId="0" shapeId="0" xr:uid="{00000000-0006-0000-0C00-00001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zájezd
</t>
        </r>
      </text>
    </comment>
    <comment ref="EK76" authorId="1" shapeId="0" xr:uid="{70871AC3-DD27-4196-9DBA-42DA46586C5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hudba na ples a ke dni matek</t>
        </r>
      </text>
    </comment>
    <comment ref="FV76" authorId="1" shapeId="0" xr:uid="{85A482E7-B33D-46C4-96D3-3A7AF74BA93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hudba na ples a ke dni matek</t>
        </r>
      </text>
    </comment>
    <comment ref="HE76" authorId="1" shapeId="0" xr:uid="{F408B2A1-37D4-44F3-9D37-51AD722C1DA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hudba na ples a ke dni matek</t>
        </r>
      </text>
    </comment>
    <comment ref="DH79" authorId="0" shapeId="0" xr:uid="{00000000-0006-0000-0C00-00001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loutkové divadlo PRONITKA</t>
        </r>
      </text>
    </comment>
    <comment ref="Y80" authorId="0" shapeId="0" xr:uid="{00000000-0006-0000-0C00-00001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7x občánek a 5.000
</t>
        </r>
      </text>
    </comment>
    <comment ref="BM80" authorId="0" shapeId="0" xr:uid="{00000000-0006-0000-0C00-00002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novorozeňata:
Dáda Adamíková,
Látalovi, Vrchovi</t>
        </r>
      </text>
    </comment>
    <comment ref="EK80" authorId="1" shapeId="0" xr:uid="{0ACA099D-6C96-42B6-BC2A-BBE8615F99A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občánci + prvňáci + výročí</t>
        </r>
      </text>
    </comment>
    <comment ref="FV80" authorId="1" shapeId="0" xr:uid="{B963E8C3-1A11-4246-9011-BE1E486A795E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občánci + prvňáci + výročí</t>
        </r>
      </text>
    </comment>
    <comment ref="HE80" authorId="1" shapeId="0" xr:uid="{94F84F55-2138-4BC4-A6B4-8799A9E2C02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občánci + prvňáci + výročí</t>
        </r>
      </text>
    </comment>
    <comment ref="EK86" authorId="1" shapeId="0" xr:uid="{BE489141-BDBF-444D-8F82-A744A2BEC49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knihovna + kronika</t>
        </r>
      </text>
    </comment>
    <comment ref="HE86" authorId="1" shapeId="0" xr:uid="{B4B50A75-EE56-452A-BA8E-B4FD782396D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knihovna +kronika</t>
        </r>
      </text>
    </comment>
    <comment ref="B92" authorId="0" shapeId="0" xr:uid="{00000000-0006-0000-0C00-00002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nově vloženo 2.3.2020
</t>
        </r>
      </text>
    </comment>
    <comment ref="AK94" authorId="0" shapeId="0" xr:uid="{00000000-0006-0000-0C00-00002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výměna radiátoru</t>
        </r>
      </text>
    </comment>
    <comment ref="DZ99" authorId="1" shapeId="0" xr:uid="{877C18A4-5C06-4359-8327-E6EF2FD2DCC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oprava křížku u zvonice</t>
        </r>
      </text>
    </comment>
    <comment ref="EK104" authorId="1" shapeId="0" xr:uid="{E7FCFDFF-59CE-4ADA-8A8A-C0E35E02479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 měsíc práce D.Magdziaka na výstavbě nové boudy</t>
        </r>
      </text>
    </comment>
    <comment ref="EK105" authorId="1" shapeId="0" xr:uid="{A3CFABCA-91D9-47CE-A8E4-649C1FE23A0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práce na dohodu na výstavbě nové bouddy</t>
        </r>
      </text>
    </comment>
    <comment ref="DH108" authorId="0" shapeId="0" xr:uid="{00000000-0006-0000-0C00-00002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čerpadlo ESYBOX - douda u hřiště - posílení tlaku vody - nádrž pro trénink dětského družstva</t>
        </r>
      </text>
    </comment>
    <comment ref="Y109" authorId="0" shapeId="0" xr:uid="{00000000-0006-0000-0C00-00002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5.000,- n vnitřní vybavení těloscivčny (žíněnky) kostky)</t>
        </r>
      </text>
    </comment>
    <comment ref="BZ109" authorId="0" shapeId="0" xr:uid="{00000000-0006-0000-0C00-00002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chemie nádrž, fólie a štěpka na herní kout u koupaliště
</t>
        </r>
      </text>
    </comment>
    <comment ref="EK109" authorId="1" shapeId="0" xr:uid="{CA9C4B23-19CE-4737-9619-DFA32F5F24D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chemie do nádrže</t>
        </r>
      </text>
    </comment>
    <comment ref="C110" authorId="0" shapeId="0" xr:uid="{00000000-0006-0000-0C00-00002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včetně napuštění nádrže</t>
        </r>
      </text>
    </comment>
    <comment ref="EK110" authorId="1" shapeId="0" xr:uid="{42946A69-3B08-4CC7-B31E-D5FE379FEA4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voda do nádrže</t>
        </r>
      </text>
    </comment>
    <comment ref="BZ112" authorId="0" shapeId="0" xr:uid="{00000000-0006-0000-0C00-00002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úpravy terénu  - herní kout u nádrže</t>
        </r>
      </text>
    </comment>
    <comment ref="DC113" authorId="0" shapeId="0" xr:uid="{00000000-0006-0000-0C00-00002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oprava zázemí horní hřiště (lavičky, stoly, bouda , pódium)</t>
        </r>
      </text>
    </comment>
    <comment ref="EK113" authorId="1" shapeId="0" xr:uid="{D6979500-2CD0-4EBB-8ADC-7087A424344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materiál a dodavatelské práce na opravy horního hřiště</t>
        </r>
      </text>
    </comment>
    <comment ref="FK113" authorId="1" shapeId="0" xr:uid="{A919F0FB-3B22-4174-BBFE-B30354E9BF5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zbývá koupit beton směs - cca 4.000,- a svépomocí zabetonovat sloupy na síŤ za branky</t>
        </r>
      </text>
    </comment>
    <comment ref="FV113" authorId="1" shapeId="0" xr:uid="{6AE230FD-5C91-4160-9476-A66045ED6C4F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údržba hřišť+ štěpka na dětské hřiště
</t>
        </r>
      </text>
    </comment>
    <comment ref="HE113" authorId="1" shapeId="0" xr:uid="{DEECC54C-8B85-418E-99FD-A49F48F7F2E8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údržba hřišť+ štěpka na dětské hřiště
</t>
        </r>
      </text>
    </comment>
    <comment ref="DK114" authorId="2" shapeId="0" xr:uid="{BC6A9948-9CA0-4F4F-BBB7-163E0CC5C10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Pořízení nového hřiště HRAS
</t>
      </text>
    </comment>
    <comment ref="EK114" authorId="1" shapeId="0" xr:uid="{0DC1F98C-6462-4C87-A40E-C366FCCE4D1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nová bouda: materiál + práce + instalace el a voda/odpad
7.300 - vyhodnocení dotace na dětské hřiště</t>
        </r>
      </text>
    </comment>
    <comment ref="FK114" authorId="1" shapeId="0" xr:uid="{F2A62C8F-80B9-41AA-AAB0-DB8AD54DC88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70.000.- očekávaná FA za elektro
5.000.- vodomateriál
Dohady prací na jaře 2025:
10.000,- instalace vodo
15.000,- nákup mateiálu a instalace pultů</t>
        </r>
      </text>
    </comment>
    <comment ref="FV114" authorId="1" shapeId="0" xr:uid="{90266B0B-C5E8-4495-8F61-AEDE8C3ABB4A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dokončení boudy na horním hřišti - pulty, zprovoznění vody </t>
        </r>
      </text>
    </comment>
    <comment ref="DC115" authorId="0" shapeId="0" xr:uid="{00000000-0006-0000-0C00-00002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obnova části dolního dětského hřiště za podmínky získání dotace z OL kraje ve výši 50%
</t>
        </r>
      </text>
    </comment>
    <comment ref="DK115" authorId="1" shapeId="0" xr:uid="{FCBB1C80-60D7-471A-87ED-4E12153C2FA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pořizujeme z dotace MMR - přesunuto na položku 6121
</t>
        </r>
      </text>
    </comment>
    <comment ref="C117" authorId="0" shapeId="0" xr:uid="{00000000-0006-0000-0C00-00002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Horní hřiště a tělocvična čp.31
</t>
        </r>
      </text>
    </comment>
    <comment ref="FB125" authorId="1" shapeId="0" xr:uid="{552ED05D-9ACF-45DF-8E30-5FF849E7E2C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oprava rozvaděče + výměna zářivkových trubic</t>
        </r>
      </text>
    </comment>
    <comment ref="FK125" authorId="1" shapeId="0" xr:uid="{2010C515-0538-490D-BE1C-6394126949A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cca 9.000,- výměna LED trubic v zářivkách
zbytek rezerva</t>
        </r>
      </text>
    </comment>
    <comment ref="C131" authorId="0" shapeId="0" xr:uid="{00000000-0006-0000-0C00-00002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SOKOL</t>
        </r>
      </text>
    </comment>
    <comment ref="V134" authorId="0" shapeId="0" xr:uid="{00000000-0006-0000-0C00-00002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položkový rozpočet(Říha)
</t>
        </r>
      </text>
    </comment>
    <comment ref="V138" authorId="0" shapeId="0" xr:uid="{00000000-0006-0000-0C00-00002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vymalování WC + sál</t>
        </r>
      </text>
    </comment>
    <comment ref="GT139" authorId="1" shapeId="0" xr:uid="{B0B07AD1-A8A2-4111-9FDE-74BD31DA5077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žaluzie obecní sál</t>
        </r>
      </text>
    </comment>
    <comment ref="AA140" authorId="0" shapeId="0" xr:uid="{00000000-0006-0000-0C00-00002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žaluzie zasedačka
</t>
        </r>
      </text>
    </comment>
    <comment ref="AE140" authorId="0" shapeId="0" xr:uid="{00000000-0006-0000-0C00-00003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žaluzie zasedačka
</t>
        </r>
      </text>
    </comment>
    <comment ref="DC142" authorId="0" shapeId="0" xr:uid="{00000000-0006-0000-0C00-00003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smlouva ARTENDR:
PD + získání dotace akunádrže</t>
        </r>
      </text>
    </comment>
    <comment ref="L143" authorId="0" shapeId="0" xr:uid="{00000000-0006-0000-0C00-00003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zasedačka v č.p.31, fasáda č.p.15 , střecha a schody zvoničky</t>
        </r>
      </text>
    </comment>
    <comment ref="S143" authorId="0" shapeId="0" xr:uid="{00000000-0006-0000-0C00-00003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dopočítat na náklady na fasádu č.p.15</t>
        </r>
      </text>
    </comment>
    <comment ref="X143" authorId="0" shapeId="0" xr:uid="{00000000-0006-0000-0C00-00003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orpava rozhlasu 6171/5171
</t>
        </r>
      </text>
    </comment>
    <comment ref="AK143" authorId="0" shapeId="0" xr:uid="{00000000-0006-0000-0C00-00003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70.180 - odmena ARTENDR za dotaci na opravu střechy
35.000,- odvlhčení přízemí č.p.31
 + rezerva- pak sem příjde náklad na opravu střechy cca 1.3mio
</t>
        </r>
      </text>
    </comment>
    <comment ref="BM143" authorId="0" shapeId="0" xr:uid="{00000000-0006-0000-0C00-00003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1.617.029 - oprava střechy č.p.31
náklady na Artendr: 5 měsíců 12.100,- řízení projektu a 36.300,- závěrečné vyhodnocení</t>
        </r>
      </text>
    </comment>
    <comment ref="EK143" authorId="1" shapeId="0" xr:uid="{3FEED591-7D93-433C-9E4D-54CAE4E6B9F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oprava stěn na obecním sále</t>
        </r>
      </text>
    </comment>
    <comment ref="FV143" authorId="1" shapeId="0" xr:uid="{DDA8BD16-0A7D-426A-A8C4-09644A8849F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zabudované skříňky do předsálí sálu</t>
        </r>
      </text>
    </comment>
    <comment ref="HE143" authorId="1" shapeId="0" xr:uid="{0B7E1764-6C93-42A3-A712-DF9C1BE988A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skříňka pod dřez v předsálí</t>
        </r>
      </text>
    </comment>
    <comment ref="L144" authorId="0" shapeId="0" xr:uid="{00000000-0006-0000-0C00-00003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wc, akumulační nádrž - č.p.31</t>
        </r>
      </text>
    </comment>
    <comment ref="BM144" authorId="0" shapeId="0" xr:uid="{00000000-0006-0000-0C00-00003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materiál na topení hospoda - tech.zhodnocení</t>
        </r>
      </text>
    </comment>
    <comment ref="DC144" authorId="0" shapeId="0" xr:uid="{00000000-0006-0000-0C00-00003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akumulační nádrž ve dvoře staré školy  -pouze za předpokladu získání dotace ve výši 85%
</t>
        </r>
      </text>
    </comment>
    <comment ref="DD144" authorId="0" shapeId="0" xr:uid="{00000000-0006-0000-0C00-00003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odhad nákladů akumulační nádrž ve dvoře staré školy  -pouze za předpokladu získání dotace ve výši 85%
</t>
        </r>
      </text>
    </comment>
    <comment ref="GW144" authorId="1" shapeId="0" xr:uid="{592ED19E-B4DB-44B5-9578-0A488C67F656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kuchyňka předsálí - materiál na nábytek</t>
        </r>
      </text>
    </comment>
    <comment ref="L149" authorId="0" shapeId="0" xr:uid="{00000000-0006-0000-0C00-00003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vánoční osvětlení kapličky</t>
        </r>
      </text>
    </comment>
    <comment ref="S149" authorId="0" shapeId="0" xr:uid="{00000000-0006-0000-0C00-00003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
</t>
        </r>
      </text>
    </comment>
    <comment ref="Y149" authorId="0" shapeId="0" xr:uid="{00000000-0006-0000-0C00-00003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
</t>
        </r>
      </text>
    </comment>
    <comment ref="AA149" authorId="0" shapeId="0" xr:uid="{00000000-0006-0000-0C00-00003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</t>
        </r>
      </text>
    </comment>
    <comment ref="AE149" authorId="0" shapeId="0" xr:uid="{00000000-0006-0000-0C00-00003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</t>
        </r>
      </text>
    </comment>
    <comment ref="HE149" authorId="1" shapeId="0" xr:uid="{36C60C88-EC06-4B7C-8E9A-B4098AAAECA1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nová lampa  na parkoviště k DS</t>
        </r>
      </text>
    </comment>
    <comment ref="BM158" authorId="0" shapeId="0" xr:uid="{00000000-0006-0000-0C00-00004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310.970.- Změna ÚZ  Ciznerová</t>
        </r>
      </text>
    </comment>
    <comment ref="DC158" authorId="0" shapeId="0" xr:uid="{00000000-0006-0000-0C00-00004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dokončení Změny č.1 ÚP</t>
        </r>
      </text>
    </comment>
    <comment ref="DH158" authorId="0" shapeId="0" xr:uid="{00000000-0006-0000-0C00-00004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HG posudek Z22</t>
        </r>
      </text>
    </comment>
    <comment ref="EK158" authorId="0" shapeId="0" xr:uid="{D76BF87C-78B2-4651-9BB0-45C52687D6E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dokončení Změny č.1 ÚP</t>
        </r>
      </text>
    </comment>
    <comment ref="FV158" authorId="1" shapeId="0" xr:uid="{E43AA4FE-4859-438B-B282-E51A1ACFAFC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závisí na rozhodnutí ZO, zda-li budeme dělat změnu - když tak do příjmů dát stejnou částku</t>
        </r>
      </text>
    </comment>
    <comment ref="HE158" authorId="1" shapeId="0" xr:uid="{E49AC479-7042-4258-9A68-0B159F7741C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závisí na rozhodnutí ZO, zda-li budeme dělat změnu - když tak do příjmů dát stejnou částku</t>
        </r>
      </text>
    </comment>
    <comment ref="BJ161" authorId="0" shapeId="0" xr:uid="{00000000-0006-0000-0C00-00004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geodeti Z5</t>
        </r>
      </text>
    </comment>
    <comment ref="BM161" authorId="0" shapeId="0" xr:uid="{00000000-0006-0000-0C00-00004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práce na PD Z5a  Z4 - sítě a veřejný prostor</t>
        </r>
      </text>
    </comment>
    <comment ref="DC161" authorId="0" shapeId="0" xr:uid="{00000000-0006-0000-0C00-00004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PD Z4/Z5
</t>
        </r>
      </text>
    </comment>
    <comment ref="L162" authorId="0" shapeId="0" xr:uid="{00000000-0006-0000-0C00-00004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projektová dokumentace Z4</t>
        </r>
      </text>
    </comment>
    <comment ref="EK163" authorId="1" shapeId="0" xr:uid="{7FB2D4A5-143C-40BE-AD95-1807945EC05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PD infrastruktury bývalé Z5, v současnosti Z13 pro Z14-16</t>
        </r>
      </text>
    </comment>
    <comment ref="EV163" authorId="1" shapeId="0" xr:uid="{67E8370F-F0CC-4967-B158-4045D67BF77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vrátit 120.000 - až bude stavební povolení</t>
        </r>
      </text>
    </comment>
    <comment ref="FV163" authorId="1" shapeId="0" xr:uid="{F225B488-27A5-41EA-A8C7-6097B6B82664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Z5_Záhumenice_ 121.000 doplatek arch.Doubravovi po nabytí právní moci stavebního povolení
132.300,- druhá část platby EG.D - příspěvek na projekt elektrifikace Z5
</t>
        </r>
      </text>
    </comment>
    <comment ref="GQ163" authorId="1" shapeId="0" xr:uid="{4A823FBF-A687-4DF0-B99C-60A9E5EEB516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zaměření pozemku 524/1
</t>
        </r>
      </text>
    </comment>
    <comment ref="HE163" authorId="1" shapeId="0" xr:uid="{E04074C3-32BA-4B44-BFE3-6C7A892A9083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Z5_Záhumenice_další investice až v roce 2027
</t>
        </r>
      </text>
    </comment>
    <comment ref="BD164" authorId="0" shapeId="0" xr:uid="{00000000-0006-0000-0C00-00004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Z4 úhrada za pozemek státu v rámci směny pozemků pro plochu v Z4</t>
        </r>
      </text>
    </comment>
    <comment ref="EV164" authorId="1" shapeId="0" xr:uid="{31001649-13B0-4554-9347-F9F046D8DBD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GP 33.600,-
EG.D  4x 12.600,-</t>
        </r>
      </text>
    </comment>
    <comment ref="C167" authorId="0" shapeId="0" xr:uid="{00000000-0006-0000-0C00-00004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Z4, Z5</t>
        </r>
      </text>
    </comment>
    <comment ref="FK171" authorId="1" shapeId="0" xr:uid="{58941411-C0C3-4235-B310-2B97E5A4331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čipy na popelnice + čipovací sada</t>
        </r>
      </text>
    </comment>
    <comment ref="DC172" authorId="0" shapeId="0" xr:uid="{00000000-0006-0000-0C00-00004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SKO Respono + BRKO kompostárna</t>
        </r>
      </text>
    </comment>
    <comment ref="EK172" authorId="1" shapeId="0" xr:uid="{7E5F814D-13D0-431E-81D7-98EF2ED373C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RESPONO + kompostárna
</t>
        </r>
      </text>
    </comment>
    <comment ref="FK172" authorId="1" shapeId="0" xr:uid="{7C14D050-7296-4BF8-8C37-48BF5AE64B0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instalace čipů</t>
        </r>
      </text>
    </comment>
    <comment ref="FV172" authorId="1" shapeId="0" xr:uid="{D6F28A71-C7B2-4B50-B19B-0942B7643B7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RESPONO + kompostárna
</t>
        </r>
      </text>
    </comment>
    <comment ref="HE172" authorId="1" shapeId="0" xr:uid="{A61DCB32-E069-4F8A-BAE8-64EEC0BE8A3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RESPONO + kompostárna+textil
</t>
        </r>
      </text>
    </comment>
    <comment ref="C175" authorId="0" shapeId="0" xr:uid="{00000000-0006-0000-0C00-00004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AA175" authorId="0" shapeId="0" xr:uid="{00000000-0006-0000-0C00-00004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AE175" authorId="0" shapeId="0" xr:uid="{00000000-0006-0000-0C00-00004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BM175" authorId="0" shapeId="0" xr:uid="{00000000-0006-0000-0C00-00004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DC175" authorId="0" shapeId="0" xr:uid="{00000000-0006-0000-0C00-00004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Sběrný dvůr Otaslavice</t>
        </r>
      </text>
    </comment>
    <comment ref="EK175" authorId="1" shapeId="0" xr:uid="{8891F81A-8C71-4E56-8501-D78B6625389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SD Otaslavice
</t>
        </r>
      </text>
    </comment>
    <comment ref="FV175" authorId="1" shapeId="0" xr:uid="{085C1665-2E84-4821-85EE-BBE0F7F338B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SD Otaslavice
</t>
        </r>
      </text>
    </comment>
    <comment ref="HE175" authorId="1" shapeId="0" xr:uid="{18645E95-5152-4C1F-A59F-0404946C120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SD Otaslavice
</t>
        </r>
      </text>
    </comment>
    <comment ref="L176" authorId="0" shapeId="0" xr:uid="{00000000-0006-0000-0C00-00004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4ks kontejnery na bio</t>
        </r>
      </text>
    </comment>
    <comment ref="S176" authorId="0" shapeId="0" xr:uid="{00000000-0006-0000-0C00-00005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kontejnery mebudou - žádost o dotaci neuspěla
</t>
        </r>
      </text>
    </comment>
    <comment ref="Y176" authorId="0" shapeId="0" xr:uid="{00000000-0006-0000-0C00-00005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kontejnery nebudou - žádost o dotaci neuspěla
</t>
        </r>
      </text>
    </comment>
    <comment ref="AK176" authorId="0" shapeId="0" xr:uid="{00000000-0006-0000-0C00-00005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3x kontejner BIO  čistý náklad obce po započtení dotace cca 8tis/kus
</t>
        </r>
      </text>
    </comment>
    <comment ref="BM181" authorId="0" shapeId="0" xr:uid="{00000000-0006-0000-0C00-00005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Karel +VPP  =(12*19000+10000)+(12*16200)</t>
        </r>
      </text>
    </comment>
    <comment ref="EK181" authorId="1" shapeId="0" xr:uid="{4B85A5B6-68CB-4596-A549-22116482A66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 případě VPP bdue navýšeno</t>
        </r>
      </text>
    </comment>
    <comment ref="EP181" authorId="1" shapeId="0" xr:uid="{D763F8C9-B902-4960-A7E7-279C8976088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Suchánková - projekt NOE</t>
        </r>
      </text>
    </comment>
    <comment ref="GE181" authorId="1" shapeId="0" xr:uid="{750B5617-0A91-410A-934C-B2EB0F59189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pracovnice VPP:
6 měsíců  x 16.000,- 
</t>
        </r>
      </text>
    </comment>
    <comment ref="BM182" authorId="0" shapeId="0" xr:uid="{00000000-0006-0000-0C00-00005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brigádníci</t>
        </r>
      </text>
    </comment>
    <comment ref="S188" authorId="0" shapeId="0" xr:uid="{00000000-0006-0000-0C00-00005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zatím čerpání nula - co tam patří, co je ještě nezbytně nutné pořídit
</t>
        </r>
      </text>
    </comment>
    <comment ref="BM188" authorId="0" shapeId="0" xr:uid="{00000000-0006-0000-0C00-00005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kolíbková pila: 11.028
lavička ke křížku 6.000,-
</t>
        </r>
      </text>
    </comment>
    <comment ref="DC188" authorId="0" shapeId="0" xr:uid="{00000000-0006-0000-0C00-00005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lavičky, koše - alej do pískovny  -+ koš u křížku</t>
        </r>
      </text>
    </comment>
    <comment ref="DC190" authorId="0" shapeId="0" xr:uid="{00000000-0006-0000-0C00-00005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úroky traktor KIOTI</t>
        </r>
      </text>
    </comment>
    <comment ref="EK190" authorId="1" shapeId="0" xr:uid="{450294EF-6E27-45BF-9A61-42F3829C7E7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úroky traktor KIOTI</t>
        </r>
      </text>
    </comment>
    <comment ref="W193" authorId="0" shapeId="0" xr:uid="{00000000-0006-0000-0C00-00005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vytvořerní paragrafu rezerva na krizové opatření
</t>
        </r>
      </text>
    </comment>
    <comment ref="AK193" authorId="0" shapeId="0" xr:uid="{00000000-0006-0000-0C00-00005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26.500,-  deratizace</t>
        </r>
      </text>
    </comment>
    <comment ref="EK193" authorId="1" shapeId="0" xr:uid="{C7A9764F-1D6C-4C6B-84CE-8DE16C104F5A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+ deratizace
</t>
        </r>
      </text>
    </comment>
    <comment ref="FK193" authorId="1" shapeId="0" xr:uid="{85ECC8B5-3DB3-4F74-B1CA-FD87D2FA054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13.000,- v prosincdi kácení vrby u Stani</t>
        </r>
      </text>
    </comment>
    <comment ref="EK194" authorId="1" shapeId="0" xr:uid="{303F50F5-692E-4759-8135-689204BCA1B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garančky traktoru + 100.000,- zmlazení porostu u dětského hřiště</t>
        </r>
      </text>
    </comment>
    <comment ref="CH195" authorId="3" shapeId="0" xr:uid="{00000000-0006-0000-0C00-00005B000000}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cesťák p. Kotrys</t>
        </r>
      </text>
    </comment>
    <comment ref="S198" authorId="0" shapeId="0" xr:uid="{00000000-0006-0000-0C00-00005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nepatří sem i nákup čističe chodníků???</t>
        </r>
      </text>
    </comment>
    <comment ref="Y198" authorId="0" shapeId="0" xr:uid="{00000000-0006-0000-0C00-00005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čistič chodníků</t>
        </r>
      </text>
    </comment>
    <comment ref="AK198" authorId="0" shapeId="0" xr:uid="{00000000-0006-0000-0C00-00005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vysavač + 3x biokontejner</t>
        </r>
      </text>
    </comment>
    <comment ref="BM198" authorId="0" shapeId="0" xr:uid="{00000000-0006-0000-0C00-00005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1 586 310,- nový traktor
35.400,- 3x biokontejner</t>
        </r>
      </text>
    </comment>
    <comment ref="BW198" authorId="0" shapeId="0" xr:uid="{00000000-0006-0000-0C00-00006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nový štěpkovač</t>
        </r>
      </text>
    </comment>
    <comment ref="DC198" authorId="0" shapeId="0" xr:uid="{00000000-0006-0000-0C00-00006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61.700,-  kontejner
</t>
        </r>
      </text>
    </comment>
    <comment ref="EK198" authorId="1" shapeId="0" xr:uid="{7A359006-C7CA-4332-8EF0-FD61190000B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příkopové rameno - smlouva již podepsána - dodání do 15.4.2024
</t>
        </r>
      </text>
    </comment>
    <comment ref="HE198" authorId="1" shapeId="0" xr:uid="{DE247D53-9E74-4D1F-9A57-9557C87D72C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plotostřih na příkopové rameno</t>
        </r>
      </text>
    </comment>
    <comment ref="CH199" authorId="3" shapeId="0" xr:uid="{00000000-0006-0000-0C00-000062000000}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RZ traktor</t>
        </r>
      </text>
    </comment>
    <comment ref="DC200" authorId="0" shapeId="0" xr:uid="{00000000-0006-0000-0C00-00006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zeleň kolem zvoničky</t>
        </r>
      </text>
    </comment>
    <comment ref="DC213" authorId="0" shapeId="0" xr:uid="{00000000-0006-0000-0C00-00006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Linka bezpečí</t>
        </r>
      </text>
    </comment>
    <comment ref="C217" authorId="0" shapeId="0" xr:uid="{00000000-0006-0000-0C00-00006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refundace platů</t>
        </r>
      </text>
    </comment>
    <comment ref="L220" authorId="0" shapeId="0" xr:uid="{00000000-0006-0000-0C00-00006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zásahové hadice (1set)</t>
        </r>
      </text>
    </comment>
    <comment ref="S220" authorId="0" shapeId="0" xr:uid="{00000000-0006-0000-0C00-00006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 již koupeným hadicím ještě 2x radiostanice celkem 12.000,-
</t>
        </r>
      </text>
    </comment>
    <comment ref="Y220" authorId="0" shapeId="0" xr:uid="{00000000-0006-0000-0C00-00006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hadice a x radiostanice 
</t>
        </r>
      </text>
    </comment>
    <comment ref="BM220" authorId="0" shapeId="0" xr:uid="{00000000-0006-0000-0C00-00006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agregát + označení zborjnice (s hasiči na půl)
</t>
        </r>
      </text>
    </comment>
    <comment ref="DC220" authorId="0" shapeId="0" xr:uid="{00000000-0006-0000-0C00-00006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boty + zásahový oblek  - podána žádso o dotaci na Olkraj - možná dotace až 100%</t>
        </r>
      </text>
    </comment>
    <comment ref="EK220" authorId="1" shapeId="0" xr:uid="{BE0AC43A-150F-4F28-8CFE-8BFACDE019C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kalové čerpadlo - žádost na OL kraj</t>
        </r>
      </text>
    </comment>
    <comment ref="FV220" authorId="1" shapeId="0" xr:uid="{7C01F307-54EB-45DA-A76B-527BCF52B6BE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kalové čerpadlo (26tis) - máme zažádáno o dotaci z OL kraje 34tis</t>
        </r>
      </text>
    </comment>
    <comment ref="GQ220" authorId="1" shapeId="0" xr:uid="{4FF15521-9399-4138-98AE-21B01BAC2454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čerpání z daru OL kraje</t>
        </r>
      </text>
    </comment>
    <comment ref="HE220" authorId="1" shapeId="0" xr:uid="{7191E868-DCD3-4B2D-91CC-D2D20FC6BBCE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proudnice + kulové ventily (22tis) - máme zažádáno o dotaci z OL kraje 30tis</t>
        </r>
      </text>
    </comment>
    <comment ref="BM221" authorId="0" shapeId="0" xr:uid="{00000000-0006-0000-0C00-00006B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Lak na vrata klempířskou + Primalex na garáž + barva na střechu
</t>
        </r>
      </text>
    </comment>
    <comment ref="DC221" authorId="0" shapeId="0" xr:uid="{00000000-0006-0000-0C00-00006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nátěr plechů, nové označení hasičárny</t>
        </r>
      </text>
    </comment>
    <comment ref="DC228" authorId="0" shapeId="0" xr:uid="{00000000-0006-0000-0C00-00006D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50.000,-. Oprava hasičské nádrže</t>
        </r>
      </text>
    </comment>
    <comment ref="FY228" authorId="1" shapeId="0" xr:uid="{FA53128A-280B-4469-B123-F4FF38704E7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použito na DPH - vrátit, až se bude dělat RO</t>
        </r>
      </text>
    </comment>
    <comment ref="DC232" authorId="0" shapeId="0" xr:uid="{00000000-0006-0000-0C00-00006E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dotace: 10.000,- jako každý rok plus 10.000,- k výročí 100 let</t>
        </r>
      </text>
    </comment>
    <comment ref="FV236" authorId="1" shapeId="0" xr:uid="{C43A513F-0BAD-4841-B832-5ECEDAE79457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AED přístroj - defibrilátor</t>
        </r>
      </text>
    </comment>
    <comment ref="GQ236" authorId="1" shapeId="0" xr:uid="{CF810C0E-78D1-4750-87C6-E0744BD30A58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navýšení do skutečné ceny 54.650,-</t>
        </r>
      </text>
    </comment>
    <comment ref="HE236" authorId="1" shapeId="0" xr:uid="{ACCB4335-28E4-4ECD-9BBB-5D266FAE6438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nový rozvod elektroinstalace v kuchyňce hasičárny</t>
        </r>
      </text>
    </comment>
    <comment ref="L237" authorId="0" shapeId="0" xr:uid="{00000000-0006-0000-0C00-00006F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nové hasičské vozidlo - bude pořízeno s dotací 450tis  HZS a snad i 100t z OLkraje</t>
        </r>
      </text>
    </comment>
    <comment ref="C240" authorId="0" shapeId="0" xr:uid="{00000000-0006-0000-0C00-000070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SDH + JSDH</t>
        </r>
      </text>
    </comment>
    <comment ref="GE279" authorId="1" shapeId="0" xr:uid="{8144E50F-8999-4F82-8E4C-A3BB70AE76F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2x plat  Novotná - návrat z MD
</t>
        </r>
      </text>
    </comment>
    <comment ref="BM280" authorId="0" shapeId="0" xr:uid="{00000000-0006-0000-0C00-000071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úklid OÚ</t>
        </r>
      </text>
    </comment>
    <comment ref="DC280" authorId="0" shapeId="0" xr:uid="{00000000-0006-0000-0C00-000072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úklid + brigádníci</t>
        </r>
      </text>
    </comment>
    <comment ref="AK285" authorId="0" shapeId="0" xr:uid="{00000000-0006-0000-0C00-000073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Zákony pro lidi - přístup do webu</t>
        </r>
      </text>
    </comment>
    <comment ref="EK285" authorId="1" shapeId="0" xr:uid="{4F2A014C-8C6B-4076-B1DA-A6E72169D73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předplatné "Zákony pro lidi" - na 3 roky</t>
        </r>
      </text>
    </comment>
    <comment ref="DC288" authorId="0" shapeId="0" xr:uid="{00000000-0006-0000-0C00-000074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NB + příslušenství</t>
        </r>
      </text>
    </comment>
    <comment ref="GT288" authorId="1" shapeId="0" xr:uid="{486EEF46-CF32-463E-9111-A270A28E6AC1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notebook starosta</t>
        </r>
      </text>
    </comment>
    <comment ref="EK289" authorId="1" shapeId="0" xr:uid="{CFC1F417-12A8-4500-8AE9-35F55F4EAD1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tonery + kancl.potřeby+potřeby pro provoz kanceláře</t>
        </r>
      </text>
    </comment>
    <comment ref="HE289" authorId="1" shapeId="0" xr:uid="{FF8A0FBF-444C-45DE-B3EF-97121C71F1B7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z toho 10.000,- na výmalbu sálu</t>
        </r>
      </text>
    </comment>
    <comment ref="EK291" authorId="1" shapeId="0" xr:uid="{94DBB038-1702-4B97-B900-D87B14311E3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č.p. 15 a 31</t>
        </r>
      </text>
    </comment>
    <comment ref="EK292" authorId="1" shapeId="0" xr:uid="{D033183E-D1AF-4A07-8C65-0BCB87379D7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č.p. 15 a 31</t>
        </r>
      </text>
    </comment>
    <comment ref="EK293" authorId="1" shapeId="0" xr:uid="{10D0AD5F-5730-4AEC-B164-2FC730BE7719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č.p. 15 a 31</t>
        </r>
      </text>
    </comment>
    <comment ref="C295" authorId="0" shapeId="0" xr:uid="{00000000-0006-0000-0C00-000075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internet, telefony</t>
        </r>
      </text>
    </comment>
    <comment ref="EK295" authorId="1" shapeId="0" xr:uid="{DBC7B524-93C9-462F-8C03-E3EDB8231B8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telefony + rozhl.poplatek</t>
        </r>
      </text>
    </comment>
    <comment ref="HE297" authorId="1" shapeId="0" xr:uid="{576CEB8D-5E26-4FA7-B1EB-7D36FDEC8A24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ZOZ - účetní</t>
        </r>
      </text>
    </comment>
    <comment ref="DH298" authorId="0" shapeId="0" xr:uid="{00000000-0006-0000-0C00-000076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manažer datové schránky</t>
        </r>
      </text>
    </comment>
    <comment ref="HE298" authorId="1" shapeId="0" xr:uid="{AFE1F0A9-75D6-44C2-88BD-28E6FD4909E4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26.046,- ONE POST SW k ovládání datovky</t>
        </r>
      </text>
    </comment>
    <comment ref="BD299" authorId="0" shapeId="0" xr:uid="{00000000-0006-0000-0C00-000077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120.000,- odahdované náklady na vyměření parcel na Z5 - mělo by proběhnout jesště do konce roku
</t>
        </r>
      </text>
    </comment>
    <comment ref="FY299" authorId="1" shapeId="0" xr:uid="{B7C9BC66-CCC2-44DE-899D-7D039F463FB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použito na vratku z voleb, vrátit až proběhne RO </t>
        </r>
      </text>
    </comment>
    <comment ref="GB299" authorId="1" shapeId="0" xr:uid="{8CB8F3F0-9D27-492F-9064-0760A3AF144D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použito na vratku z voleb, vrátit až proběhne RO </t>
        </r>
      </text>
    </comment>
    <comment ref="GE299" authorId="1" shapeId="0" xr:uid="{01C4EED1-C4A0-4791-9191-23EA3B2FA9FB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použito na vratku z voleb, vrátit až proběhne RO </t>
        </r>
      </text>
    </comment>
    <comment ref="GH299" authorId="1" shapeId="0" xr:uid="{5A28197D-BA90-431B-84E0-E8037D2216DC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použito na vratku z voleb, vrátit až proběhne RO </t>
        </r>
      </text>
    </comment>
    <comment ref="GT301" authorId="1" shapeId="0" xr:uid="{D9EB7519-9456-49A8-A11B-590A0D919C08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KEO 4 spisová služba</t>
        </r>
      </text>
    </comment>
    <comment ref="DC306" authorId="0" shapeId="0" xr:uid="{00000000-0006-0000-0C00-000078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přestupková agenda</t>
        </r>
      </text>
    </comment>
    <comment ref="EK306" authorId="1" shapeId="0" xr:uid="{2FB543ED-82FC-442F-AC46-6975C7CE7E9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přestupková agenda
</t>
        </r>
      </text>
    </comment>
    <comment ref="EK321" authorId="1" shapeId="0" xr:uid="{ADDE3741-5D6B-41FE-8A2E-7107132EE42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pojištění majetku (stavby + vozidla)
</t>
        </r>
      </text>
    </comment>
    <comment ref="V325" authorId="0" shapeId="0" xr:uid="{00000000-0006-0000-0C00-000079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dotace obchodu
</t>
        </r>
      </text>
    </comment>
    <comment ref="AK325" authorId="0" shapeId="0" xr:uid="{00000000-0006-0000-0C00-00007A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pokrytí nákladů LUNA</t>
        </r>
      </text>
    </comment>
    <comment ref="BM325" authorId="0" shapeId="0" xr:uid="{00000000-0006-0000-0C00-00007B000000}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  
</t>
        </r>
        <r>
          <rPr>
            <sz val="9"/>
            <color indexed="81"/>
            <rFont val="Tahoma"/>
            <family val="2"/>
            <charset val="238"/>
          </rPr>
          <t>podpora LUNY</t>
        </r>
      </text>
    </comment>
    <comment ref="DC325" authorId="0" shapeId="0" xr:uid="{00000000-0006-0000-0C00-00007C00000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prodejna LUNA</t>
        </r>
      </text>
    </comment>
    <comment ref="FV325" authorId="1" shapeId="0" xr:uid="{CF14715F-C12E-4DE6-A8F2-E200A1C0EFB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podpora prodejny</t>
        </r>
      </text>
    </comment>
    <comment ref="GT325" authorId="1" shapeId="0" xr:uid="{E9937FB9-CCD1-4122-B6DF-7B02B413AE63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převod na účet LUNA (ČS)</t>
        </r>
      </text>
    </comment>
    <comment ref="HE325" authorId="1" shapeId="0" xr:uid="{60BE3641-C8BF-4D43-8785-B794D2973611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podpora prodejny</t>
        </r>
      </text>
    </comment>
    <comment ref="FB332" authorId="1" shapeId="0" xr:uid="{E5BC55D2-9DE1-48C9-BBC8-FD1244116E3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FE332" authorId="1" shapeId="0" xr:uid="{D33FCCF4-C4D3-4C36-84FB-C7C5BC772CC6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FH332" authorId="1" shapeId="0" xr:uid="{5A1D1250-D599-43FA-B9E6-F1CB403C930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FK332" authorId="1" shapeId="0" xr:uid="{C4788480-2B0A-4173-A3E9-E5F60EA3FCD8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GT332" authorId="1" shapeId="0" xr:uid="{6BCF747F-F04B-4FEA-8226-A244EED96E2A}">
      <text>
        <r>
          <rPr>
            <b/>
            <sz val="9"/>
            <color indexed="81"/>
            <rFont val="Tahoma"/>
            <charset val="1"/>
          </rPr>
          <t>Bob Koštanský:</t>
        </r>
        <r>
          <rPr>
            <sz val="9"/>
            <color indexed="81"/>
            <rFont val="Tahoma"/>
            <charset val="1"/>
          </rPr>
          <t xml:space="preserve">
DPH 3.Q</t>
        </r>
      </text>
    </comment>
    <comment ref="EK337" authorId="1" shapeId="0" xr:uid="{7DD9899F-4E70-4EF8-9D05-1E7E435301B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vratka z prezidentských voleb</t>
        </r>
      </text>
    </comment>
    <comment ref="FV337" authorId="1" shapeId="0" xr:uid="{C6B4A9CD-1B55-4A2B-A320-3CE732AEBE95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vratka z evropských a krajských voleb</t>
        </r>
      </text>
    </comment>
    <comment ref="HE337" authorId="1" shapeId="0" xr:uid="{386594EE-C061-4B34-8551-48B24C0FC549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vratka z evropských a krajských voleb</t>
        </r>
      </text>
    </comment>
    <comment ref="EK340" authorId="1" shapeId="0" xr:uid="{60FF2468-5C37-49CD-ABB0-922A5EC8B553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vstupní lékařské prohlídky</t>
        </r>
      </text>
    </comment>
    <comment ref="C341" authorId="1" shapeId="0" xr:uid="{4DDDDCA4-A3D1-489D-B50D-D30570E69660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příspěvek MAS</t>
        </r>
      </text>
    </comment>
    <comment ref="EK341" authorId="1" shapeId="0" xr:uid="{213DD86E-2AFB-4400-8696-06A614907867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čl.příspěvek MAS</t>
        </r>
      </text>
    </comment>
    <comment ref="FV341" authorId="1" shapeId="0" xr:uid="{ECF19226-94BD-4CF4-8D21-681E18AD33BA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MAS</t>
        </r>
      </text>
    </comment>
    <comment ref="HE341" authorId="1" shapeId="0" xr:uid="{EA9B4F2C-68EE-4AC0-8CCE-0FA0CC67D448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MAS</t>
        </r>
      </text>
    </comment>
    <comment ref="EK342" authorId="1" shapeId="0" xr:uid="{F69780CB-0CB8-439E-A028-2DB1FCC31512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čl.příspěvek SMO</t>
        </r>
      </text>
    </comment>
    <comment ref="FV342" authorId="1" shapeId="0" xr:uid="{FCDB6BE1-747D-48E9-A33C-A7BEB56245E4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SMO</t>
        </r>
      </text>
    </comment>
    <comment ref="HE342" authorId="1" shapeId="0" xr:uid="{71BDC728-1103-412A-B456-F5947FBEF6CC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SMO</t>
        </r>
      </text>
    </comment>
    <comment ref="EK343" authorId="1" shapeId="0" xr:uid="{EFFBB403-8F90-47CE-A947-FFD80B014B25}">
      <text>
        <r>
          <rPr>
            <b/>
            <sz val="9"/>
            <color indexed="81"/>
            <rFont val="Tahoma"/>
            <family val="2"/>
            <charset val="238"/>
          </rPr>
          <t>Bob Koštanský:</t>
        </r>
        <r>
          <rPr>
            <sz val="9"/>
            <color indexed="81"/>
            <rFont val="Tahoma"/>
            <family val="2"/>
            <charset val="238"/>
          </rPr>
          <t xml:space="preserve">
čl.příspěvek Předina</t>
        </r>
      </text>
    </comment>
    <comment ref="FV343" authorId="1" shapeId="0" xr:uid="{0D1B51D4-3E61-41C4-A453-90C3562FAD93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Předina</t>
        </r>
      </text>
    </comment>
    <comment ref="HE343" authorId="1" shapeId="0" xr:uid="{68F8D156-9A9D-4618-838B-4A0983C64C12}">
      <text>
        <r>
          <rPr>
            <b/>
            <sz val="11"/>
            <color indexed="81"/>
            <rFont val="Tahoma"/>
            <family val="2"/>
            <charset val="238"/>
          </rPr>
          <t>Bob Koštanský:</t>
        </r>
        <r>
          <rPr>
            <sz val="11"/>
            <color indexed="81"/>
            <rFont val="Tahoma"/>
            <family val="2"/>
            <charset val="238"/>
          </rPr>
          <t xml:space="preserve">
Předina</t>
        </r>
      </text>
    </comment>
    <comment ref="BM357" authorId="0" shapeId="0" xr:uid="{F7077B36-7BAD-4D19-96EB-ABD77C8E8CF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CY357" authorId="0" shapeId="0" xr:uid="{BB453B69-3B81-4707-B76A-CB62654A3F6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A357" authorId="0" shapeId="0" xr:uid="{CB2CDAD9-4ADD-4EC8-88A8-E372B78C99C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C357" authorId="0" shapeId="0" xr:uid="{E96FA997-3F56-4C74-B0F5-D60A793639E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E357" authorId="0" shapeId="0" xr:uid="{71E844A2-C76B-4199-BD33-1117CC93170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F357" authorId="0" shapeId="0" xr:uid="{702A870E-BE09-49B8-AE7E-E90E525D5E0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H357" authorId="0" shapeId="0" xr:uid="{8C437521-50EA-452B-B20B-3CFC45707B7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I357" authorId="0" shapeId="0" xr:uid="{D0337EDA-204F-4A26-9965-0DAA1FCF8108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K357" authorId="0" shapeId="0" xr:uid="{E0A9F0E1-AA58-4308-8143-54D5563B8928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L357" authorId="0" shapeId="0" xr:uid="{190D6C76-89D5-4A41-8111-AC6CDA9DFAA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N357" authorId="0" shapeId="0" xr:uid="{0A6133D3-CB5E-4EF1-B0C6-09A0ABECA98A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O357" authorId="0" shapeId="0" xr:uid="{CB097F5F-D9A7-4368-B523-A83F63A040A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Q357" authorId="0" shapeId="0" xr:uid="{07ADEDE5-F730-4948-82AD-8D8EF4A30AE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R357" authorId="0" shapeId="0" xr:uid="{126ED36E-BF9C-40CA-9503-AC8A1B580FF8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T357" authorId="0" shapeId="0" xr:uid="{A11F21F5-B411-408B-A05F-54751C9063C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U357" authorId="0" shapeId="0" xr:uid="{26BA2666-AE29-4479-9A12-EB035ED1126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W357" authorId="0" shapeId="0" xr:uid="{AFFFE248-2165-49BB-83AA-F26FDA50518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X357" authorId="0" shapeId="0" xr:uid="{9C07DA66-EEA2-42B3-85A8-9F6B29BD21A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DZ357" authorId="0" shapeId="0" xr:uid="{55A981BD-4344-4B5A-860B-4AB54F27F2C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A357" authorId="0" shapeId="0" xr:uid="{647607CC-9C8F-4F2C-9844-49586F3D3B6E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C357" authorId="0" shapeId="0" xr:uid="{2BE88EEC-A213-4E32-B575-558A866F975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D357" authorId="0" shapeId="0" xr:uid="{04E2404D-239F-4F00-8E0D-2C2A8D0A752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F357" authorId="0" shapeId="0" xr:uid="{C0191FF8-661E-44F2-8DFA-B870DE76163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G357" authorId="0" shapeId="0" xr:uid="{94CF581F-E013-45A5-84B0-EB1C420B738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I357" authorId="0" shapeId="0" xr:uid="{6DD176A0-24BF-4A5B-9741-4425F8468BEE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K357" authorId="0" shapeId="0" xr:uid="{C339AF7E-221D-4F41-BC84-7F6C907C3B7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M357" authorId="0" shapeId="0" xr:uid="{A266734C-132B-4828-B63F-2CED5F62D95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N357" authorId="0" shapeId="0" xr:uid="{7A28DDFA-6684-4733-8A51-3C22ED1F24D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P357" authorId="0" shapeId="0" xr:uid="{CD0B2C2C-AB08-46BE-BDAF-9BAA6182421D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Q357" authorId="0" shapeId="0" xr:uid="{B36F4300-0184-467D-8761-9FF26482F99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S357" authorId="0" shapeId="0" xr:uid="{2F4FF78A-F2B9-4CC9-9915-96225857072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T357" authorId="0" shapeId="0" xr:uid="{07AA1147-7DD7-40BC-BFBB-B6DCF9EF4D2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V357" authorId="0" shapeId="0" xr:uid="{7D641F0C-37C6-42BD-88E7-A8CB774592B5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W357" authorId="0" shapeId="0" xr:uid="{77DD2345-597D-4020-86EA-5B068B00197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Y357" authorId="0" shapeId="0" xr:uid="{CCA02538-4E7E-4BE3-9B42-4AA2567DABB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EZ357" authorId="0" shapeId="0" xr:uid="{BA0D27D2-89A8-43C1-BBEF-6A172DB3DC4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B357" authorId="0" shapeId="0" xr:uid="{84A225E7-37B5-47DB-9B22-F58CB90D849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C357" authorId="0" shapeId="0" xr:uid="{3F9A9D72-FED6-40C6-B34F-D57176FA9C4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E357" authorId="0" shapeId="0" xr:uid="{00DFFA4E-26BD-43A3-BB62-2AB3A9BA291C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F357" authorId="0" shapeId="0" xr:uid="{F88C2A8B-538C-41DA-9E1D-706C5C6CA99C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H357" authorId="0" shapeId="0" xr:uid="{E7582E65-1261-45B8-8EBB-013BFA2DD98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I357" authorId="0" shapeId="0" xr:uid="{6F521B64-4DD5-487F-B9BB-9B0142E8618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K357" authorId="0" shapeId="0" xr:uid="{68BFCBEB-2DBF-4E37-B567-A848BCE9FCA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L357" authorId="0" shapeId="0" xr:uid="{BD686D86-AF0D-41BF-A568-D38C192ED66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N357" authorId="0" shapeId="0" xr:uid="{460BE626-2B56-47A4-A50D-18994ADE46E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O357" authorId="0" shapeId="0" xr:uid="{525364E0-1A77-4BB7-A85D-251E1D27FAF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Q357" authorId="0" shapeId="0" xr:uid="{5E39864F-F8E8-46F1-90DB-2DFCBED1765F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R357" authorId="0" shapeId="0" xr:uid="{8E60561B-D242-4F89-931E-7F3E267082D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T357" authorId="0" shapeId="0" xr:uid="{A83E56A9-4BB4-4A79-A6B6-5DE03EB404B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V357" authorId="0" shapeId="0" xr:uid="{DB3FCEA5-C007-4D13-A85B-D274B8DF6879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Y357" authorId="0" shapeId="0" xr:uid="{1A18FC22-5B7D-4CD7-AA4D-0ABE1F514012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FZ357" authorId="0" shapeId="0" xr:uid="{F58E8116-BE29-4926-85F7-6B0C5215F0F0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B357" authorId="0" shapeId="0" xr:uid="{F0E51220-7877-4AC9-9DF3-2A95B4C481AB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C357" authorId="0" shapeId="0" xr:uid="{BA9CB29F-2CF5-46A1-A504-BA12CC86AF25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E357" authorId="0" shapeId="0" xr:uid="{F067B5D1-8FE8-4137-8FC1-D7E7CF42718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F357" authorId="0" shapeId="0" xr:uid="{7BD2240B-93CC-42B4-8C73-18006B8B8259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H357" authorId="0" shapeId="0" xr:uid="{FF5CCA39-95BA-4A80-B955-2A881E750939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I357" authorId="0" shapeId="0" xr:uid="{72C38302-F4C0-443B-B566-7D23AD1F0DDD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K357" authorId="0" shapeId="0" xr:uid="{E24FB2EB-F3EF-4A33-A048-ADBA25F6B826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L357" authorId="0" shapeId="0" xr:uid="{76BF72AC-82AA-4A38-A5BB-64E2BB320FCC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N357" authorId="0" shapeId="0" xr:uid="{2C55AE4D-1D0B-4307-AAB1-7D45193ACB28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O357" authorId="0" shapeId="0" xr:uid="{0BCA77E1-DB17-45E1-A18A-7C98DFD77DD4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Q357" authorId="0" shapeId="0" xr:uid="{B81F307F-5396-4A7B-91F5-F27ED8803B7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R357" authorId="0" shapeId="0" xr:uid="{3D3598BF-F2F1-4399-8A90-2B7DDE57D679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T357" authorId="0" shapeId="0" xr:uid="{C32F22EF-AF71-49BA-B16A-471C83D628CD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U357" authorId="0" shapeId="0" xr:uid="{CEB866B7-9DC5-4E4F-9E76-607770D395B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W357" authorId="0" shapeId="0" xr:uid="{E36A0AB0-16A7-4C73-B1E1-F8714B501F0C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X357" authorId="0" shapeId="0" xr:uid="{E53FB69A-83F7-46AC-848E-37D2CAF83DC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GZ357" authorId="0" shapeId="0" xr:uid="{F8635576-3822-4FC9-B07E-F3F492349D47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HA357" authorId="0" shapeId="0" xr:uid="{C736CC02-299C-4214-91B0-AE955AE39043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HC357" authorId="0" shapeId="0" xr:uid="{67F99AA8-3ECD-4834-A6B5-DABFC35F4E51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  <comment ref="HE357" authorId="0" shapeId="0" xr:uid="{2A8855A8-ACA4-408A-A5D7-2536823D7E89}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</commentList>
</comments>
</file>

<file path=xl/sharedStrings.xml><?xml version="1.0" encoding="utf-8"?>
<sst xmlns="http://schemas.openxmlformats.org/spreadsheetml/2006/main" count="3442" uniqueCount="742">
  <si>
    <t/>
  </si>
  <si>
    <t>Schválený</t>
  </si>
  <si>
    <t>Rozpočet</t>
  </si>
  <si>
    <t>Výsledek od</t>
  </si>
  <si>
    <t>Paragraf</t>
  </si>
  <si>
    <t>Položka</t>
  </si>
  <si>
    <t>Text</t>
  </si>
  <si>
    <t>rozpočet</t>
  </si>
  <si>
    <t>%</t>
  </si>
  <si>
    <t>po změnách</t>
  </si>
  <si>
    <t>počátku roku</t>
  </si>
  <si>
    <t>0000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</si>
  <si>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</si>
  <si>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</si>
  <si>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</si>
  <si>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</si>
  <si>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</si>
  <si>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</si>
  <si>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</si>
  <si>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</si>
  <si>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</si>
  <si>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</si>
  <si>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</si>
  <si>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</si>
  <si>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</si>
  <si>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</si>
  <si>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1341</t>
  </si>
  <si>
    <t>Poplatek ze psů</t>
  </si>
  <si>
    <t>1343</t>
  </si>
  <si>
    <t>Poplatek za užívání veřejného prostranství</t>
  </si>
  <si>
    <t>1361</t>
  </si>
  <si>
    <t>Správní poplatky</t>
  </si>
  <si>
    <t>1381</t>
  </si>
  <si>
    <t>Daň z hazardních her s výjimkou dílčí daně z technic.her</t>
  </si>
  <si>
    <t>1511</t>
  </si>
  <si>
    <t>Daň z nemovitých věcí</t>
  </si>
  <si>
    <t>4111</t>
  </si>
  <si>
    <t>Neinvest.přij.transfery z všeob.pokl.správy stát.rozpočtu</t>
  </si>
  <si>
    <t>4112</t>
  </si>
  <si>
    <t>Neinv.přij.transfery ze st.rozp.v rámci souhrn.dotač.vzta</t>
  </si>
  <si>
    <t>4116</t>
  </si>
  <si>
    <t>Ostatní neinvestič.přijaté transfery ze stát.rozpočtu</t>
  </si>
  <si>
    <t>4122</t>
  </si>
  <si>
    <t>Neinvestiční přijaté transfery od krajů</t>
  </si>
  <si>
    <t>4216</t>
  </si>
  <si>
    <t>Ostatní investiční přijaté transfery ze stát. rozpočtu</t>
  </si>
  <si>
    <t>*</t>
  </si>
  <si>
    <t>000</t>
  </si>
  <si>
    <t>**</t>
  </si>
  <si>
    <t>1011</t>
  </si>
  <si>
    <t>2131</t>
  </si>
  <si>
    <t>Příjmy z pronájmu pozemků</t>
  </si>
  <si>
    <t>101</t>
  </si>
  <si>
    <t>Zeměděl. a potrav. činnost a rozvoj</t>
  </si>
  <si>
    <t>2119</t>
  </si>
  <si>
    <t>2343</t>
  </si>
  <si>
    <t>Příjmy dobíh.úhrad z dobýv.prostoru a z vydob.nerostů</t>
  </si>
  <si>
    <t>Ostatní záležitosti těžebního průmyslu a energetiky</t>
  </si>
  <si>
    <t>211</t>
  </si>
  <si>
    <t>Záležitosti těžebního průmyslu a energet.</t>
  </si>
  <si>
    <t>3639</t>
  </si>
  <si>
    <t>3111</t>
  </si>
  <si>
    <t>Příjmy z prodeje pozemků</t>
  </si>
  <si>
    <t>Komunální služby a územní rozvoj jinde nezařazené</t>
  </si>
  <si>
    <t>363</t>
  </si>
  <si>
    <t>Komunální služby a územní rozvoj</t>
  </si>
  <si>
    <t>3725</t>
  </si>
  <si>
    <t>2324</t>
  </si>
  <si>
    <t>Využívání a zneškodňování komunálních odpadů</t>
  </si>
  <si>
    <t>372</t>
  </si>
  <si>
    <t>Nakládání s odpady</t>
  </si>
  <si>
    <t>3745</t>
  </si>
  <si>
    <t>Ostatní příjmy z vlastní činnosti</t>
  </si>
  <si>
    <t>Péče o vzhled obcí a veřejnou zeleň</t>
  </si>
  <si>
    <t>374</t>
  </si>
  <si>
    <t>Ochrana přírody a krajiny</t>
  </si>
  <si>
    <t>6171</t>
  </si>
  <si>
    <t>2111</t>
  </si>
  <si>
    <t>Příjmy z poskytování služeb a výrobků</t>
  </si>
  <si>
    <t>2112</t>
  </si>
  <si>
    <t>Příjmy z prodeje zboží (již nakoupeného za účelem prodeje</t>
  </si>
  <si>
    <t>2132</t>
  </si>
  <si>
    <t>Příjmy z pronájmu ostatních nemovitých věcí a jejich částí</t>
  </si>
  <si>
    <t>Činnost místní správy</t>
  </si>
  <si>
    <t>617</t>
  </si>
  <si>
    <t>Regionální a místní správa</t>
  </si>
  <si>
    <t>6310</t>
  </si>
  <si>
    <t>2141</t>
  </si>
  <si>
    <t>Příjmy z úroků (část)</t>
  </si>
  <si>
    <t>Obecné příjmy a výdaje z finančních operací</t>
  </si>
  <si>
    <t>631</t>
  </si>
  <si>
    <t>6330</t>
  </si>
  <si>
    <t>4134</t>
  </si>
  <si>
    <t>Převody z rozpočtových účtů</t>
  </si>
  <si>
    <t>4138</t>
  </si>
  <si>
    <t>Převody z vlastní pokladny</t>
  </si>
  <si>
    <t>Převody vlastním fondům v rozpočtech územní úrovně</t>
  </si>
  <si>
    <t>633</t>
  </si>
  <si>
    <t>Převody vlastním fondům v rozp.územní úrovně</t>
  </si>
  <si>
    <t>6409</t>
  </si>
  <si>
    <t>2328</t>
  </si>
  <si>
    <t>Neidentifikované příjmy</t>
  </si>
  <si>
    <t>Ostatní činnosti jinde nezařazené</t>
  </si>
  <si>
    <t>640</t>
  </si>
  <si>
    <t>Ostatní činnosti</t>
  </si>
  <si>
    <t>PŘÍJMY celkem:   ************************************************************</t>
  </si>
  <si>
    <t>1039</t>
  </si>
  <si>
    <t>5222</t>
  </si>
  <si>
    <t>Neinvestiční transfery spolkům</t>
  </si>
  <si>
    <t>Ostatní záležitosti lesního hospodářství</t>
  </si>
  <si>
    <t>103</t>
  </si>
  <si>
    <t>Lesní hospodářství</t>
  </si>
  <si>
    <t>2219</t>
  </si>
  <si>
    <t>5137</t>
  </si>
  <si>
    <t>Drobný hmotný dlouhodobý majetek</t>
  </si>
  <si>
    <t>5169</t>
  </si>
  <si>
    <t>Nákup ostatních služeb</t>
  </si>
  <si>
    <t>5171</t>
  </si>
  <si>
    <t>Opravy a udržování</t>
  </si>
  <si>
    <t>Ostatní záležitosti pozemních komunikací</t>
  </si>
  <si>
    <t>221</t>
  </si>
  <si>
    <t>Pozemní komunikace</t>
  </si>
  <si>
    <t>2292</t>
  </si>
  <si>
    <t>5339</t>
  </si>
  <si>
    <t>Neinvestiční transfery cizím příspěvkovým organizacím</t>
  </si>
  <si>
    <t>Dopravní obslužnost veřejnými službami</t>
  </si>
  <si>
    <t>229</t>
  </si>
  <si>
    <t>Ostatní činnost a nespecifikované výdaje v dopravě</t>
  </si>
  <si>
    <t>2321</t>
  </si>
  <si>
    <t>5329</t>
  </si>
  <si>
    <t>Ost.neinvest.transfery veřejným rozpočtům územní úrovně</t>
  </si>
  <si>
    <t>Odvádění a čištění odpadních vod a nakládání s kaly</t>
  </si>
  <si>
    <t>232</t>
  </si>
  <si>
    <t>Odvádění a čištění odpadních vod</t>
  </si>
  <si>
    <t>5321</t>
  </si>
  <si>
    <t>Neinvestiční transfery obcím</t>
  </si>
  <si>
    <t>Mateřské školy</t>
  </si>
  <si>
    <t>3113</t>
  </si>
  <si>
    <t>Základní školy</t>
  </si>
  <si>
    <t>311</t>
  </si>
  <si>
    <t>Předškolní a základní vzdělávání</t>
  </si>
  <si>
    <t>3319</t>
  </si>
  <si>
    <t>5021</t>
  </si>
  <si>
    <t>Ostatní osobní výdaje</t>
  </si>
  <si>
    <t>5136</t>
  </si>
  <si>
    <t>Knihy, učební pomůcky a tisk</t>
  </si>
  <si>
    <t>5139</t>
  </si>
  <si>
    <t>Nákup materiálu jinde nezařazený</t>
  </si>
  <si>
    <t>5175</t>
  </si>
  <si>
    <t>Pohoštění</t>
  </si>
  <si>
    <t>5194</t>
  </si>
  <si>
    <t>Věcné dary</t>
  </si>
  <si>
    <t>5492</t>
  </si>
  <si>
    <t>Dary obyvatelstvu</t>
  </si>
  <si>
    <t>Ostatní záležitosti kultury</t>
  </si>
  <si>
    <t>331</t>
  </si>
  <si>
    <t>Kultura</t>
  </si>
  <si>
    <t>5151</t>
  </si>
  <si>
    <t>Studená voda</t>
  </si>
  <si>
    <t>5153</t>
  </si>
  <si>
    <t>Plyn</t>
  </si>
  <si>
    <t>5154</t>
  </si>
  <si>
    <t>Elektrická energie</t>
  </si>
  <si>
    <t>5223</t>
  </si>
  <si>
    <t>Neinvestiční transfery církvím a náboženským společnostem</t>
  </si>
  <si>
    <t>3412</t>
  </si>
  <si>
    <t>Sportovní zařízení ve vlastnictví obce</t>
  </si>
  <si>
    <t>3419</t>
  </si>
  <si>
    <t>Ostatní sportovní činnost</t>
  </si>
  <si>
    <t>341</t>
  </si>
  <si>
    <t>Sport</t>
  </si>
  <si>
    <t>3612</t>
  </si>
  <si>
    <t>Bytové hospodářství</t>
  </si>
  <si>
    <t>3613</t>
  </si>
  <si>
    <t>Nebytové hospodářství</t>
  </si>
  <si>
    <t>3631</t>
  </si>
  <si>
    <t>Veřejné osvětlení</t>
  </si>
  <si>
    <t>3721</t>
  </si>
  <si>
    <t>Sběr a svoz nebezpečných odpadů</t>
  </si>
  <si>
    <t>3722</t>
  </si>
  <si>
    <t>Sběr a svoz komunálních odpadů</t>
  </si>
  <si>
    <t>3723</t>
  </si>
  <si>
    <t>Sběr a svoz ostatních odpadů (jiných než nebezp. a komunál.)</t>
  </si>
  <si>
    <t>5011</t>
  </si>
  <si>
    <t>Platy zaměstnanců v prac.pom. vyjma zaměst.na služ.místech</t>
  </si>
  <si>
    <t>5031</t>
  </si>
  <si>
    <t>Povin.pojistné na soc.zab.a příspěvek na st.politiku zamě</t>
  </si>
  <si>
    <t>5032</t>
  </si>
  <si>
    <t>Povinné pojistné na veřejné zdravotní pojištění</t>
  </si>
  <si>
    <t>5132</t>
  </si>
  <si>
    <t>Ochranné pomůcky</t>
  </si>
  <si>
    <t>5134</t>
  </si>
  <si>
    <t>Prádlo, oděv a obuv</t>
  </si>
  <si>
    <t>5156</t>
  </si>
  <si>
    <t>Pohonné hmoty a maziva</t>
  </si>
  <si>
    <t>5167</t>
  </si>
  <si>
    <t>Služby školení a vzdělávání</t>
  </si>
  <si>
    <t>5424</t>
  </si>
  <si>
    <t>Náhrady mezd v době nemoci</t>
  </si>
  <si>
    <t>6122</t>
  </si>
  <si>
    <t>Stroje, přístroje a zařízení</t>
  </si>
  <si>
    <t>5512</t>
  </si>
  <si>
    <t>5019</t>
  </si>
  <si>
    <t>Ostatní platy</t>
  </si>
  <si>
    <t>5039</t>
  </si>
  <si>
    <t>Ostatní povinné pojistné placené zaměstnavatelem</t>
  </si>
  <si>
    <t>5173</t>
  </si>
  <si>
    <t>Cestovné</t>
  </si>
  <si>
    <t>6121</t>
  </si>
  <si>
    <t>Budovy, haly a stavby</t>
  </si>
  <si>
    <t>6123</t>
  </si>
  <si>
    <t>Dopravní prostředky</t>
  </si>
  <si>
    <t>Požární ochrana - dobrovolná část</t>
  </si>
  <si>
    <t>551</t>
  </si>
  <si>
    <t>Požární ochrana</t>
  </si>
  <si>
    <t>6112</t>
  </si>
  <si>
    <t>5023</t>
  </si>
  <si>
    <t>Odměny členů zastupitelstev obcí a krajů</t>
  </si>
  <si>
    <t>Zastupitelstva obcí</t>
  </si>
  <si>
    <t>6117</t>
  </si>
  <si>
    <t>5161</t>
  </si>
  <si>
    <t>Poštovní služby</t>
  </si>
  <si>
    <t>Volby do Evropského parlamentu</t>
  </si>
  <si>
    <t>5038</t>
  </si>
  <si>
    <t>Povinné pojistné na úrazové pojištění</t>
  </si>
  <si>
    <t>5133</t>
  </si>
  <si>
    <t>Léky a zdravotnický materiál</t>
  </si>
  <si>
    <t>5162</t>
  </si>
  <si>
    <t>Služby elektronických komunikací</t>
  </si>
  <si>
    <t>5163</t>
  </si>
  <si>
    <t>Služby peněžních ústavů</t>
  </si>
  <si>
    <t>5172</t>
  </si>
  <si>
    <t>Programové vybavení</t>
  </si>
  <si>
    <t>5191</t>
  </si>
  <si>
    <t>Zaplacené sankce</t>
  </si>
  <si>
    <t>6320</t>
  </si>
  <si>
    <t>Pojištění funkčně nespecifikované</t>
  </si>
  <si>
    <t>632</t>
  </si>
  <si>
    <t>5341</t>
  </si>
  <si>
    <t>Převody vlastním fondům hospodářské (podnikatel.) činnost</t>
  </si>
  <si>
    <t>5344</t>
  </si>
  <si>
    <t>Převody vlastním rezervním fondům územních rozpočtů</t>
  </si>
  <si>
    <t>5345</t>
  </si>
  <si>
    <t>Převody vlastním rozpočtovým účtům</t>
  </si>
  <si>
    <t>5348</t>
  </si>
  <si>
    <t>Převody do vlastní pokladny</t>
  </si>
  <si>
    <t>6399</t>
  </si>
  <si>
    <t>5362</t>
  </si>
  <si>
    <t>Platby daní a poplatků státnímu rozpočtu</t>
  </si>
  <si>
    <t>5365</t>
  </si>
  <si>
    <t>Platby daní a poplatků krajům,obcím a státním fondům</t>
  </si>
  <si>
    <t>Ostatní finanční operace</t>
  </si>
  <si>
    <t>639</t>
  </si>
  <si>
    <t>6402</t>
  </si>
  <si>
    <t>5364</t>
  </si>
  <si>
    <t>Vratky transferů poskytnutých z veř.rozpočtů ústř.úrovně</t>
  </si>
  <si>
    <t>Finanční vypořádání minulých let</t>
  </si>
  <si>
    <t>5229</t>
  </si>
  <si>
    <t>Ost.neinvestiční transfery neziskovým a podob. organizací</t>
  </si>
  <si>
    <t>VÝDAJE celkem:   ************************************************************</t>
  </si>
  <si>
    <t>Název</t>
  </si>
  <si>
    <t>PŘÍJMY CELKEM</t>
  </si>
  <si>
    <t>VÝDAJE CELKEM</t>
  </si>
  <si>
    <t>PŘÍJMY</t>
  </si>
  <si>
    <t>Kč</t>
  </si>
  <si>
    <t>DAŇOVÉ</t>
  </si>
  <si>
    <t>1xxx</t>
  </si>
  <si>
    <t>NEDAŇOVÉ</t>
  </si>
  <si>
    <t>2xxx</t>
  </si>
  <si>
    <t>KAPITÁLOVÉ</t>
  </si>
  <si>
    <t>3xxx</t>
  </si>
  <si>
    <t>PŘIJATÉ TRANSFERY</t>
  </si>
  <si>
    <t>4xxx</t>
  </si>
  <si>
    <t>VÝDAJE</t>
  </si>
  <si>
    <t>BĚŽNÉ VÝDAJE</t>
  </si>
  <si>
    <t>5xxxx</t>
  </si>
  <si>
    <t>KAPITÁLOVÉ VÝDAJE</t>
  </si>
  <si>
    <t>6xxx</t>
  </si>
  <si>
    <t>SALDO ROZPOČTU (PŘÍJMY - VÝDAJE)</t>
  </si>
  <si>
    <t>FINANCOVÁNÍ</t>
  </si>
  <si>
    <t>Zdroje z minulých let</t>
  </si>
  <si>
    <t xml:space="preserve">Výsledek </t>
  </si>
  <si>
    <t>1-10/2019</t>
  </si>
  <si>
    <t>Rozpis rozpočtových příjmů</t>
  </si>
  <si>
    <t>Rozpis rozpočtových výdajů</t>
  </si>
  <si>
    <t>forecast</t>
  </si>
  <si>
    <t>2019</t>
  </si>
  <si>
    <t>vývoj orzp.</t>
  </si>
  <si>
    <t>20/19</t>
  </si>
  <si>
    <t xml:space="preserve">vývoj </t>
  </si>
  <si>
    <t>20/odhad 19</t>
  </si>
  <si>
    <t>vývoj rozp.</t>
  </si>
  <si>
    <t xml:space="preserve">Daňové příjmy celkem </t>
  </si>
  <si>
    <t>Přijaté transfery celkem</t>
  </si>
  <si>
    <t>lokalita Z4</t>
  </si>
  <si>
    <t xml:space="preserve">prodeje pozemků v obci </t>
  </si>
  <si>
    <t>Kapitálové příjmy celkem</t>
  </si>
  <si>
    <t>2212</t>
  </si>
  <si>
    <t>Silnice</t>
  </si>
  <si>
    <t>2223</t>
  </si>
  <si>
    <t>Bezpečnost silničního provozu</t>
  </si>
  <si>
    <t>2229</t>
  </si>
  <si>
    <t>Ostatní záležitosti v silniční dopravě</t>
  </si>
  <si>
    <t>222</t>
  </si>
  <si>
    <t>Silniční doprava</t>
  </si>
  <si>
    <t>6113</t>
  </si>
  <si>
    <t>Nehmotné výsledky výzkumné a obdobné činnosti</t>
  </si>
  <si>
    <t>5041</t>
  </si>
  <si>
    <t>Odměny za užití duševního vlastnictví</t>
  </si>
  <si>
    <t>01 -19.11./2019</t>
  </si>
  <si>
    <t>rozhlas</t>
  </si>
  <si>
    <t>eko-kom</t>
  </si>
  <si>
    <t>ZEVAS, Tomášek, Vystavěl</t>
  </si>
  <si>
    <t>kiosek</t>
  </si>
  <si>
    <t>hospoda, sály, tělocvična</t>
  </si>
  <si>
    <t>Nedaňové příjmy celkem</t>
  </si>
  <si>
    <t>5xxx</t>
  </si>
  <si>
    <t>Běžné výdaje celkem</t>
  </si>
  <si>
    <t>z toho opravy celkem</t>
  </si>
  <si>
    <t>Kapitálové výdaje celkem</t>
  </si>
  <si>
    <t>SPOZ celkem</t>
  </si>
  <si>
    <t>Činnosti knihovnické celkem</t>
  </si>
  <si>
    <t>3314</t>
  </si>
  <si>
    <t>3330</t>
  </si>
  <si>
    <t>Činnosti registrovaných církví a náboženských společností</t>
  </si>
  <si>
    <t>Dopravní obslužnost - příspěvek  KIDSOKu</t>
  </si>
  <si>
    <t>mandatorní výdaje</t>
  </si>
  <si>
    <t>Budovy, haly , stavby</t>
  </si>
  <si>
    <t>Pozemní komunikace opravy</t>
  </si>
  <si>
    <t>Pozemní komunikace investice</t>
  </si>
  <si>
    <t>Činnosti knihovnické opravy</t>
  </si>
  <si>
    <t>mandatorní</t>
  </si>
  <si>
    <t>M</t>
  </si>
  <si>
    <t>Horní hřiště opravy</t>
  </si>
  <si>
    <t>SOKOL opravy</t>
  </si>
  <si>
    <t>Nástavba nad obchod  investice</t>
  </si>
  <si>
    <t>Nebytové hospodářství náklady celkem</t>
  </si>
  <si>
    <t>Nebytové hospodářství opravy</t>
  </si>
  <si>
    <t>Nebytové hospodářství investice</t>
  </si>
  <si>
    <t>Veřejné osvětlení opravy</t>
  </si>
  <si>
    <t>Lokality Z4, Z5 investice</t>
  </si>
  <si>
    <t>Sběr a svoz komunálních odpadů celkem</t>
  </si>
  <si>
    <t>Veřejná zeleň náklady celkem</t>
  </si>
  <si>
    <t>Veřejná zeleň opravy</t>
  </si>
  <si>
    <t>Veřejná zeleň  investice</t>
  </si>
  <si>
    <t>SDH + JSDHopravy</t>
  </si>
  <si>
    <t>SDH + JSDH investice</t>
  </si>
  <si>
    <t>Sběr a svoz komunálních odpadů investice</t>
  </si>
  <si>
    <t>Zastupitelstvo náklady celkem</t>
  </si>
  <si>
    <t>6115</t>
  </si>
  <si>
    <t>Obecní úřad náklady celkem</t>
  </si>
  <si>
    <t>Obecní úřad opravy</t>
  </si>
  <si>
    <t>Služby peněžních ústavů celkem</t>
  </si>
  <si>
    <t>Pojištění  celkem</t>
  </si>
  <si>
    <t>Převod mezi účty  celkem</t>
  </si>
  <si>
    <t>vratky z voleb, příspěvky svazkům  celkem</t>
  </si>
  <si>
    <t>Daně  celkem</t>
  </si>
  <si>
    <t>*5171</t>
  </si>
  <si>
    <t>Dlouhodobý úvěr</t>
  </si>
  <si>
    <t>FINANCOVÁNÍ CELKEM</t>
  </si>
  <si>
    <t>BALANCE</t>
  </si>
  <si>
    <t>pískovna - těžaři + báňský úřad</t>
  </si>
  <si>
    <t>Úspora pro příští období</t>
  </si>
  <si>
    <t>Pozemní komunikace  celkem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</si>
  <si>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</si>
  <si>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</si>
  <si>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</si>
  <si>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</si>
  <si>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</si>
  <si>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</si>
  <si>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</si>
  <si>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Finanční transfery</t>
  </si>
  <si>
    <t>Příjmy celkem</t>
  </si>
  <si>
    <t>Třída 5</t>
  </si>
  <si>
    <t>Běžné výdaje</t>
  </si>
  <si>
    <t>Třída 6</t>
  </si>
  <si>
    <t>Kapitálové výdaje</t>
  </si>
  <si>
    <t>Výdaje celkem</t>
  </si>
  <si>
    <t>Třída 8</t>
  </si>
  <si>
    <t>Příjmy z financování</t>
  </si>
  <si>
    <t>Financování celkem</t>
  </si>
  <si>
    <t>Balance</t>
  </si>
  <si>
    <t xml:space="preserve">Sňato: </t>
  </si>
  <si>
    <t>Návrh střednědobého výhledu rozpočtu obce Ondratice</t>
  </si>
  <si>
    <t xml:space="preserve">Návrh střednědobého výhledu </t>
  </si>
  <si>
    <t>Příjmy cekem</t>
  </si>
  <si>
    <t>Výdaje z financování</t>
  </si>
  <si>
    <t>podíl na běžných výdajích</t>
  </si>
  <si>
    <t>zmenit na 571.000,-</t>
  </si>
  <si>
    <t>REFORECAST</t>
  </si>
  <si>
    <t>5168</t>
  </si>
  <si>
    <t>Zpracování dat a služby související s infmor a kom.</t>
  </si>
  <si>
    <t>5213</t>
  </si>
  <si>
    <t>Vytvoření rezervy</t>
  </si>
  <si>
    <t>Krizové opatření</t>
  </si>
  <si>
    <t>lokalita Z5</t>
  </si>
  <si>
    <t>RO1</t>
  </si>
  <si>
    <t>5212</t>
  </si>
  <si>
    <t>5903</t>
  </si>
  <si>
    <t>Rezerva na krizová opatření</t>
  </si>
  <si>
    <t>Ochrana obyvatelstva</t>
  </si>
  <si>
    <t>521</t>
  </si>
  <si>
    <t>6130</t>
  </si>
  <si>
    <t>Pozemky</t>
  </si>
  <si>
    <t>skut 06</t>
  </si>
  <si>
    <t>Návrh RO2 - covid</t>
  </si>
  <si>
    <t>RO2</t>
  </si>
  <si>
    <t>RO2/RO1</t>
  </si>
  <si>
    <t>RO2-RO1</t>
  </si>
  <si>
    <t>Investiční přijaté transfery od krajů</t>
  </si>
  <si>
    <t>4222</t>
  </si>
  <si>
    <t>RO3</t>
  </si>
  <si>
    <t>Obecní úřad</t>
  </si>
  <si>
    <t>RO4</t>
  </si>
  <si>
    <t>Příjmy z vlastní činnosti jinde nespecifikované(dále j.n.</t>
  </si>
  <si>
    <t>Příjmy z prodeje ostatního hmotného dlouhodobého majetku</t>
  </si>
  <si>
    <t>prodej hasičské vozíku</t>
  </si>
  <si>
    <t>prodej hasičského auta AVIA</t>
  </si>
  <si>
    <t>2133</t>
  </si>
  <si>
    <t>Příjmy z pronájmu movitých věcí</t>
  </si>
  <si>
    <t>Platby daní a poplatků krajům,obcím a st.f (přihl.auta)</t>
  </si>
  <si>
    <t>Zpracování dat,  aktualizace, udr. popl.</t>
  </si>
  <si>
    <t>5363</t>
  </si>
  <si>
    <t>Úhrady sankcí jiným rozpočtům (pokuta)</t>
  </si>
  <si>
    <t>zemědělské pachty</t>
  </si>
  <si>
    <t>hospoda, sály (i SOKOL)</t>
  </si>
  <si>
    <t xml:space="preserve">ZEVAS </t>
  </si>
  <si>
    <t>do 30.11.</t>
  </si>
  <si>
    <t>Vystavěl</t>
  </si>
  <si>
    <t>1.10.</t>
  </si>
  <si>
    <t>splatné:</t>
  </si>
  <si>
    <t xml:space="preserve">Polách </t>
  </si>
  <si>
    <t>31.3.</t>
  </si>
  <si>
    <t>od 1.10.20: Orálek/Vystavěl</t>
  </si>
  <si>
    <t>změna RO4-RO3</t>
  </si>
  <si>
    <t xml:space="preserve">    </t>
  </si>
  <si>
    <t>RO5</t>
  </si>
  <si>
    <t>změna RO5-RO4</t>
  </si>
  <si>
    <t>5042</t>
  </si>
  <si>
    <t>Odměny za užití počítačových programů</t>
  </si>
  <si>
    <t>RO6</t>
  </si>
  <si>
    <t>změna RO6-RO5</t>
  </si>
  <si>
    <t>FINAL</t>
  </si>
  <si>
    <t>1385</t>
  </si>
  <si>
    <t>Dílčí daň z technických her</t>
  </si>
  <si>
    <t>2310</t>
  </si>
  <si>
    <t>Příjmy z prodeje krátkodob.majetku a drob.dlouhodob.majet</t>
  </si>
  <si>
    <t>0001</t>
  </si>
  <si>
    <t>plnění %</t>
  </si>
  <si>
    <t>schválený rozpočet 2020</t>
  </si>
  <si>
    <t>skutečnost 2020</t>
  </si>
  <si>
    <t>Rozpočet 2020 po změnách</t>
  </si>
  <si>
    <t>návrh</t>
  </si>
  <si>
    <t>změna pro R20</t>
  </si>
  <si>
    <t>změna proti skut20</t>
  </si>
  <si>
    <t>změna protio původnímu R20</t>
  </si>
  <si>
    <t>6114</t>
  </si>
  <si>
    <t xml:space="preserve">  </t>
  </si>
  <si>
    <t xml:space="preserve">             z toho: opravy a udržování</t>
  </si>
  <si>
    <t>Celkem daně od státu</t>
  </si>
  <si>
    <t xml:space="preserve">   </t>
  </si>
  <si>
    <t>Mgr.Bohuslav Koštanský v.r.</t>
  </si>
  <si>
    <t>starosta obce Ondratice</t>
  </si>
  <si>
    <t xml:space="preserve"> </t>
  </si>
  <si>
    <t>Rozpočet obce Ondratice pro rok 2021</t>
  </si>
  <si>
    <t>Střednědobý výhled rozpočtu obce Ondratice</t>
  </si>
  <si>
    <t>změna rozpisu č.1</t>
  </si>
  <si>
    <t>změna</t>
  </si>
  <si>
    <t>stav po změně</t>
  </si>
  <si>
    <t>Rozpočtové opatření č.1</t>
  </si>
  <si>
    <t>Rozpočtové opatření č.1 schváleno rozhodnutím starosty dne 6.5.2021</t>
  </si>
  <si>
    <t>schválený rozpočet 2021</t>
  </si>
  <si>
    <t>změna rozpočtu</t>
  </si>
  <si>
    <t>stav rozpočtu po změně</t>
  </si>
  <si>
    <t>Rozpočet schválen zastupitelstvem obce Ondratice usnesením č. 4b) dne 26.3.2021</t>
  </si>
  <si>
    <t>5299</t>
  </si>
  <si>
    <t>Ostatní záležitosti civilní připravenosti na krizové stavy</t>
  </si>
  <si>
    <t>Rozpočtové opatření č.2 schváleno rozhodnutím starosty dne 29.6.2021</t>
  </si>
  <si>
    <t>Rozpočtové opatření č.2</t>
  </si>
  <si>
    <t>Vyvěšeno na úřední desce:   30.6.2021</t>
  </si>
  <si>
    <t>Vyvěšeno na úřední desce:   30.7.2021</t>
  </si>
  <si>
    <t>Rozpočtové opatření č.3 schváleno rozhodnutím starosty dne 30.7.2021</t>
  </si>
  <si>
    <t>Rozpočtové opatření č.3</t>
  </si>
  <si>
    <t>3114</t>
  </si>
  <si>
    <t>5221</t>
  </si>
  <si>
    <t>Neinvestiční transfery obecně prospěšným spole</t>
  </si>
  <si>
    <t>Základní školy pro žáky se speciálními vzdělávacíámi potřebami</t>
  </si>
  <si>
    <t>Drobný dlouhodobý hmotný majetek</t>
  </si>
  <si>
    <t>změna rozpisu 3.8.21</t>
  </si>
  <si>
    <t>Rozpočtové opatření č.4</t>
  </si>
  <si>
    <t>2142</t>
  </si>
  <si>
    <t>Příjmy z podílů na zisku a dividend</t>
  </si>
  <si>
    <t>Rozpočtové opatření č.4 schváleno usnesením zastupitelstva dne 12.11.2021</t>
  </si>
  <si>
    <t>Vyvěšeno na úřední desce:   16.11.2021</t>
  </si>
  <si>
    <t>změna rozpisu 21.12.21</t>
  </si>
  <si>
    <t>3636</t>
  </si>
  <si>
    <t>Platby daní  krajům, obcím a státním institucím</t>
  </si>
  <si>
    <t>5909</t>
  </si>
  <si>
    <t>Ostatní neinvestiční výdaje jinde nazařazené</t>
  </si>
  <si>
    <t>FIN/ROZP</t>
  </si>
  <si>
    <t>22/21FIN</t>
  </si>
  <si>
    <t>22/21 rozp</t>
  </si>
  <si>
    <t>návrh/FIN21</t>
  </si>
  <si>
    <t>Rozpočet 2021 po změnách</t>
  </si>
  <si>
    <t>skutečnost 2021</t>
  </si>
  <si>
    <t>R22/R21</t>
  </si>
  <si>
    <t>R22/S21</t>
  </si>
  <si>
    <t>Územní rozvoj</t>
  </si>
  <si>
    <t>na období 2023 - 2024</t>
  </si>
  <si>
    <t xml:space="preserve">Vyvěšeno na úřední desce:   </t>
  </si>
  <si>
    <t>Rozpočet obce Ondratice pro rok 2022</t>
  </si>
  <si>
    <t>Rozpočet 2022</t>
  </si>
  <si>
    <t xml:space="preserve">Schváleno zastupitelstvem obce Ondratice usnesením č.  dne </t>
  </si>
  <si>
    <t xml:space="preserve">Vyvěšeno na úřední desce:  </t>
  </si>
  <si>
    <t>Schválený Rozpočet</t>
  </si>
  <si>
    <t>Schváleno zastupitelstvem obce Ondratice usnesením č.     Dne</t>
  </si>
  <si>
    <t>výtluky</t>
  </si>
  <si>
    <t>2329</t>
  </si>
  <si>
    <t>Ostatní nedaňové příjmy jinde nezařazené</t>
  </si>
  <si>
    <t>CELKEM</t>
  </si>
  <si>
    <t>Obchůdek+</t>
  </si>
  <si>
    <t>podpora LUNA</t>
  </si>
  <si>
    <t>Převody mezi účty</t>
  </si>
  <si>
    <t>OLkraj</t>
  </si>
  <si>
    <t>elektrocentrála</t>
  </si>
  <si>
    <t>JSDH</t>
  </si>
  <si>
    <t>nový traktor</t>
  </si>
  <si>
    <t>Veřejná zeleň</t>
  </si>
  <si>
    <t>aktiualizace územního plánu</t>
  </si>
  <si>
    <t>materiály topení hospoda</t>
  </si>
  <si>
    <t>MMR</t>
  </si>
  <si>
    <t>oprava střechy</t>
  </si>
  <si>
    <t>zájezd</t>
  </si>
  <si>
    <t>SPOZ</t>
  </si>
  <si>
    <t>PD Mostek Chaloupky</t>
  </si>
  <si>
    <t>srážka Kozizól + zatrubnění</t>
  </si>
  <si>
    <t>oprava výtluků</t>
  </si>
  <si>
    <t>žádost o dotaci OL</t>
  </si>
  <si>
    <t>3x biokontejner</t>
  </si>
  <si>
    <t>po odečtení 85% dotace MAS</t>
  </si>
  <si>
    <t>Lokality Z4, Z5</t>
  </si>
  <si>
    <t>PD sítě</t>
  </si>
  <si>
    <t>80000 na parcelu</t>
  </si>
  <si>
    <t>dětské hřiště</t>
  </si>
  <si>
    <t>doplnit částku z žádosti o dotaci</t>
  </si>
  <si>
    <t>paragraf</t>
  </si>
  <si>
    <t>Nadace ČEZ - žádosti nevyhověno</t>
  </si>
  <si>
    <t>schváleno</t>
  </si>
  <si>
    <t>1345</t>
  </si>
  <si>
    <t xml:space="preserve">Příjem z poplatku za obecní systém odpadového hospodářství a příjem z poplatku za odkládání komunálního odpadu z nemovité věci. </t>
  </si>
  <si>
    <t>Ostatní neinvestiční transfery rozpočtům územní úrovně</t>
  </si>
  <si>
    <t>5219</t>
  </si>
  <si>
    <t>Neinvestiční transfery fundacím, ústavům a obecně prospěšným společnostem</t>
  </si>
  <si>
    <t>změna rozpisu č.2</t>
  </si>
  <si>
    <t>Přijaté neinvestiční příspěvky a náhrady</t>
  </si>
  <si>
    <t>4213</t>
  </si>
  <si>
    <t>Investiční přijaté transfery ze státních fondů</t>
  </si>
  <si>
    <t>5141</t>
  </si>
  <si>
    <t>Úroky vlastní</t>
  </si>
  <si>
    <t>změna rozpisu č.3</t>
  </si>
  <si>
    <t>přečerpání k 17.10.</t>
  </si>
  <si>
    <t>změna rozpisu č.4</t>
  </si>
  <si>
    <t>změna rozpisu č.5</t>
  </si>
  <si>
    <t>6124</t>
  </si>
  <si>
    <t>Pěstitelské celky trvalých porostů</t>
  </si>
  <si>
    <t>Návrh rozpočtu obce Ondratice pro rok 2023</t>
  </si>
  <si>
    <t>na období 2024 - 2025</t>
  </si>
  <si>
    <t>bude splaceno k 31.3.2029</t>
  </si>
  <si>
    <t>návrh rozpočtu 2023</t>
  </si>
  <si>
    <t>R23/R22</t>
  </si>
  <si>
    <t>schválený rozpočet 2022</t>
  </si>
  <si>
    <t>Rozpočet 2022 po změnách</t>
  </si>
  <si>
    <t>skutečnost 2022</t>
  </si>
  <si>
    <t>R23/S22</t>
  </si>
  <si>
    <t>RO7</t>
  </si>
  <si>
    <t>1382</t>
  </si>
  <si>
    <t>Příjem ze zrušeného odvodu z loterií a podobných her kromě odvodu z výherních hracích přístrojů</t>
  </si>
  <si>
    <t>Uhrazené splátky dlouhodobého úvěrupřijatých půjčených prostředků</t>
  </si>
  <si>
    <t>návrh/FIN22</t>
  </si>
  <si>
    <t>6114-8</t>
  </si>
  <si>
    <t>6118</t>
  </si>
  <si>
    <t>5323</t>
  </si>
  <si>
    <t>Neinvenstiční transfery krajům</t>
  </si>
  <si>
    <t>starosta</t>
  </si>
  <si>
    <t>místostarosta</t>
  </si>
  <si>
    <t>předseda FK</t>
  </si>
  <si>
    <t>předseda KK</t>
  </si>
  <si>
    <t>členové</t>
  </si>
  <si>
    <t>6129</t>
  </si>
  <si>
    <t>Nákup dlouhodobé hmotného majetku jinde nezařazeného</t>
  </si>
  <si>
    <t xml:space="preserve">Skutečnost </t>
  </si>
  <si>
    <t xml:space="preserve">Návrh rozpočtu </t>
  </si>
  <si>
    <t>Vyvěšeno na úřední desce: 8.2.2023</t>
  </si>
  <si>
    <t>Vyvěšeno na úřední desce:  8.2.2023</t>
  </si>
  <si>
    <t>Rozpočet obce Ondratice pro rok 2023</t>
  </si>
  <si>
    <t>Rozpočet 2023</t>
  </si>
  <si>
    <t>Vyvěšeno na úřední desce: 1.3.2023</t>
  </si>
  <si>
    <t>Schváleno zastupitelstvem obce Ondratice usnesením č. 5/1/2023 dne 24.2.2023</t>
  </si>
  <si>
    <t xml:space="preserve">Rozpočet </t>
  </si>
  <si>
    <t>Střednědobý výhled rozpočtu</t>
  </si>
  <si>
    <t>Příjem z prodeje ostatního hmotného dlouhodobého majetku</t>
  </si>
  <si>
    <t>6221</t>
  </si>
  <si>
    <t>Humanitární zahraniční pomoc přímá</t>
  </si>
  <si>
    <t>4113</t>
  </si>
  <si>
    <t>Rozpočtové opatření č.1 schváleno rozhodnutím starosty dne 27.2.2023</t>
  </si>
  <si>
    <t>Rozpočtové opatření č.2 schváleno rozhodnutím starosty dne 16.3.2023</t>
  </si>
  <si>
    <t>Vyvěšeno na úřední desce: 17.3.2023</t>
  </si>
  <si>
    <t>Vyvěšeno na úřední desce: 3.3.2023</t>
  </si>
  <si>
    <t>RO 3</t>
  </si>
  <si>
    <t>Rozpočtové opatření č.3 schváleno usnesením zastupitelstva  č. 8/3/2023 dne 28.4.2023</t>
  </si>
  <si>
    <t>2420</t>
  </si>
  <si>
    <t>5622</t>
  </si>
  <si>
    <t>Splátky půjčených prostředků od obecně prospěšných spol. a podobných subjektů</t>
  </si>
  <si>
    <t>Neinvestiční půjčené prostředky spolkům</t>
  </si>
  <si>
    <t>Stavby</t>
  </si>
  <si>
    <t>Rozpočtové opatření č.3 - návrh</t>
  </si>
  <si>
    <t>Vyvěšeno na úřední desce: 12.4.2023</t>
  </si>
  <si>
    <t>Vyvěšeno na úřední desce: 3.5.2023</t>
  </si>
  <si>
    <t>Sňato: 3.5.2023</t>
  </si>
  <si>
    <t>změna rozpisu</t>
  </si>
  <si>
    <t>Příjem z poskytování služeb, výrobků, prací, výkonů a práv</t>
  </si>
  <si>
    <t>Rozpočtové opatření č.4 schváleno rozhodnutím starosty dne 20.5.2023</t>
  </si>
  <si>
    <t>Vyvěšeno na úřední desce: 14.6.2023</t>
  </si>
  <si>
    <t>Rozpočtové opatření č.5</t>
  </si>
  <si>
    <t>200</t>
  </si>
  <si>
    <t>Vyvěšeno na úřední desce: 14.8.2023</t>
  </si>
  <si>
    <t>Rozpočtové opatření č.5 schváleno rozhodnutím starosty dne 17.7.2023</t>
  </si>
  <si>
    <t xml:space="preserve">Rozpočtové opatření č.6 </t>
  </si>
  <si>
    <t>Rozpočtové opatření č.6 schváleno usnesením zastupitelstva  č. 6/6/2023 dne 21.9.2023</t>
  </si>
  <si>
    <t>Vyvěšeno na úřední desce: 25.9.2023</t>
  </si>
  <si>
    <t>3326</t>
  </si>
  <si>
    <t>Pořízení, zachování a obnova hodnot místního kulturního, národního a historického povědomí</t>
  </si>
  <si>
    <t>5149</t>
  </si>
  <si>
    <t>Ostatní úroky a ostatní finanční výdaje</t>
  </si>
  <si>
    <t>Příjem z pronájmu nebo pachtu ostatních nemovitých věcí a jejich částí</t>
  </si>
  <si>
    <t>Rozpočtové opatření č.7</t>
  </si>
  <si>
    <t>Rozpočtové opatření č.7 schváleno rozhodnutím starosty dne 27.11.2023</t>
  </si>
  <si>
    <t>Vyvěšeno na úřední desce: 15.12.2023</t>
  </si>
  <si>
    <t>na období 2025 - 2026</t>
  </si>
  <si>
    <t>Návrh rozpočtu obce Ondratice pro rok 2024</t>
  </si>
  <si>
    <t>schválený rozpočet 2023</t>
  </si>
  <si>
    <t>Rozpočet 2023 po změnách</t>
  </si>
  <si>
    <t>skutečnost 2023</t>
  </si>
  <si>
    <t>návrh rozpočtu 2024</t>
  </si>
  <si>
    <t>R24/R23</t>
  </si>
  <si>
    <t>R24/S23</t>
  </si>
  <si>
    <t>Termínovaný účet - vklad</t>
  </si>
  <si>
    <t>Termínovaný vklad - výběr</t>
  </si>
  <si>
    <t>RO8</t>
  </si>
  <si>
    <t xml:space="preserve">Volby </t>
  </si>
  <si>
    <t>Volby prezidenta republiky</t>
  </si>
  <si>
    <t>Volby do Parlamentu ČR (PS nebo Senát)</t>
  </si>
  <si>
    <t>Volby do zastupitelstev USC (obec nebo kraj)</t>
  </si>
  <si>
    <t>Ostatní sportovní činnost  (SOKOL)</t>
  </si>
  <si>
    <t>Vyvěšeno na úřední desce:  12.2.2024</t>
  </si>
  <si>
    <t>Vyvěšeno na úřední desce: 5.3.2024</t>
  </si>
  <si>
    <t>Rozpočet obce Ondratice pro rok 2024</t>
  </si>
  <si>
    <t>schválený rozpočet 2024</t>
  </si>
  <si>
    <t>Vyvěšeno na úřední desce:  5.3.2024</t>
  </si>
  <si>
    <t>RO</t>
  </si>
  <si>
    <t>Rozpočet schválen zastupitelstvem usnesením 6/1/2024 dne 1.3.2024</t>
  </si>
  <si>
    <t>vyvěšeno na úřední desce: 5.3.2024</t>
  </si>
  <si>
    <t>Rozpočtové opatření č.1 schváleno rozhodnutím starosty dne 26.3.2024</t>
  </si>
  <si>
    <t>vyvěšeno na úřední desce: 17.4.2024</t>
  </si>
  <si>
    <t>RO1_24</t>
  </si>
  <si>
    <t>RO2_24</t>
  </si>
  <si>
    <t>2122</t>
  </si>
  <si>
    <t>Sběr a zpracování druhotných surovin</t>
  </si>
  <si>
    <t>Rozpočtové opatření č.2 schváleno rozhodnutím starosty dne 26.4.2024</t>
  </si>
  <si>
    <t>vyvěšeno na úřední desce: 17.5.2024</t>
  </si>
  <si>
    <t>2115</t>
  </si>
  <si>
    <t>Úspora energie a obnovitelné zdroje</t>
  </si>
  <si>
    <t>Střednědobý výhled rozpočtu byl schválen zastupitelstvem obce usnesením č. 6/1/2024 dne 1.3.2024</t>
  </si>
  <si>
    <t>Třída 8: úvěr na traktor KIOTI ve výši ….. , měsíční splátka… a bude splacen k 31.3.2029</t>
  </si>
  <si>
    <t>RO3_24</t>
  </si>
  <si>
    <t>Rozpočtové opatření č.3 schváleno rozhodnutím starosty dne 28.8.2024</t>
  </si>
  <si>
    <t>vyvěšeno na úřední desce: 23.9.2024</t>
  </si>
  <si>
    <t>RO4_24</t>
  </si>
  <si>
    <t>0002</t>
  </si>
  <si>
    <t>0003</t>
  </si>
  <si>
    <t>1386</t>
  </si>
  <si>
    <t>Příjem z daně z hazardních her s výjimkou technických her neprovozovaných prostřednictvím internetu</t>
  </si>
  <si>
    <t>1387</t>
  </si>
  <si>
    <t>Příjem z daně z technických her neprovozovaných prostřednictvím internetu</t>
  </si>
  <si>
    <t>Rozpočtové opatření č.4 schváleno rozhodnutím starosty dne 20.11.2024</t>
  </si>
  <si>
    <t>vyvěšeno na úřední desce: 27.11.2024</t>
  </si>
  <si>
    <t>na období 2026 - 2027</t>
  </si>
  <si>
    <t xml:space="preserve">Třída 8: </t>
  </si>
  <si>
    <t>úvěr na traktor KIOTI ve výši 1.620.000,- Kč, měsíční splátka 20.062,- a bude splacen k 31.3.2029</t>
  </si>
  <si>
    <t>Rozpočet 2024 po změnách</t>
  </si>
  <si>
    <t>skutečnost 2024</t>
  </si>
  <si>
    <t>Příjem sankčních plateb přijatých od jiných osob</t>
  </si>
  <si>
    <t>Čerpání úveru</t>
  </si>
  <si>
    <t>Uhrazené splátky krátkodobého přijatého úvěru</t>
  </si>
  <si>
    <t xml:space="preserve">                           </t>
  </si>
  <si>
    <t xml:space="preserve">úvěr na výstavbu objektu Dětské skupiny Ondratice ve výši 20.000.000,-Kč,který bude splacen do 31.12.2026 z dotace </t>
  </si>
  <si>
    <t>Vyvěšeno na úřední desce:  11.03.2025</t>
  </si>
  <si>
    <t>vyvěšeno na úřední desce: 1.4.2025</t>
  </si>
  <si>
    <t>Rozpočet schválen zastupitelstvem obce usnesením 7/3/2025 dne 28.3.2025</t>
  </si>
  <si>
    <t>Rozpočet obce Ondratice pro rok 2025</t>
  </si>
  <si>
    <t>schválený rozpočet 2025</t>
  </si>
  <si>
    <t>Vyvěšeno na úřední desce:  1.4.2025</t>
  </si>
  <si>
    <t>Schváleno zastupitelstvem obce usnesením 7/3/2025 dne 28.3.2025</t>
  </si>
  <si>
    <t>RO1_25</t>
  </si>
  <si>
    <t>vyvěšeno na úřední desce: 18.6.2025</t>
  </si>
  <si>
    <t>Rozpočtové opatření č.1 schváleno zastupitelstvem obce usnesením 6/5/2025 dne 17.6.2025</t>
  </si>
  <si>
    <t xml:space="preserve">Ostatní investiční přijaté transfery ze státního rozpočtu </t>
  </si>
  <si>
    <t>RO2_25</t>
  </si>
  <si>
    <t>Rozpočtové opatření č.2 schváleno starostou obce dne 28.8.2025</t>
  </si>
  <si>
    <t>vyvěšeno na úřední desce: 28.8.2025</t>
  </si>
  <si>
    <t>RO3_25</t>
  </si>
  <si>
    <t>RO3 25</t>
  </si>
  <si>
    <t>Rozpočtové opatření č.3 schváleno starostou obce dne 19.9.2025</t>
  </si>
  <si>
    <t>vyvěšeno na úřední desce: 10.10.2025</t>
  </si>
  <si>
    <t>5123</t>
  </si>
  <si>
    <t>Podlimitní technické zhodnocení</t>
  </si>
  <si>
    <t>RO4_25</t>
  </si>
  <si>
    <t>4233</t>
  </si>
  <si>
    <t>Investiční transfery přijaté od Evropské unie</t>
  </si>
  <si>
    <t>Rozpočtové opatření č.4 schváleno starostou obce dne 15.12.2025</t>
  </si>
  <si>
    <t>vyvěšeno na úřední desce: 18.12.2025</t>
  </si>
  <si>
    <t>RO4 25</t>
  </si>
  <si>
    <t>Návrh rozpočtu obce Ondratice pro rok 2026</t>
  </si>
  <si>
    <t>Rozpočet 2025 po změnách</t>
  </si>
  <si>
    <t>skutečnost 2025</t>
  </si>
  <si>
    <t>návrh rozpočtu 2026</t>
  </si>
  <si>
    <t>R26/R25</t>
  </si>
  <si>
    <t>R26/S25</t>
  </si>
  <si>
    <t>6172</t>
  </si>
  <si>
    <t>2123</t>
  </si>
  <si>
    <t>Příjem z ostatních odvodů příspěvkových organizací</t>
  </si>
  <si>
    <t>4132</t>
  </si>
  <si>
    <t>Převody z ostatních vlastních fondů</t>
  </si>
  <si>
    <t>3112</t>
  </si>
  <si>
    <t>Návrh Střednědobého výhledu rozpočtu obce Ondratice</t>
  </si>
  <si>
    <t>na období 2027 - 2028</t>
  </si>
  <si>
    <t>Vyvěšeno na úřední desce:  13.3.2026</t>
  </si>
  <si>
    <t>RO/FINAL</t>
  </si>
  <si>
    <t>Návrh Rozpočtu obce Ondratice pro rok 2026</t>
  </si>
  <si>
    <t>Vyvěšeno na úřední desce: 13.3.2026</t>
  </si>
  <si>
    <t>Návrh Střednědobého výhledu rozpočtu</t>
  </si>
  <si>
    <t xml:space="preserve">čerpání úvěr na výstavbu objektu Dětské skupiny Ondratice ve výši 8.534.350,-Kč bude splaceno do 31.12.2026 z dotace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</si>
</sst>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%"/>
    <numFmt numFmtId="166" formatCode="0.000"/>
  </numFmts>
  <fonts count="4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fom"/>
      <charset val="238"/>
    </font>
    <font>
      <b/>
      <sz val="12"/>
      <color theme="1"/>
      <name val="Tafom"/>
      <charset val="238"/>
    </font>
    <font>
      <b/>
      <sz val="18"/>
      <color theme="1"/>
      <name val="Tafom"/>
      <charset val="238"/>
    </font>
    <font>
      <sz val="11"/>
      <color theme="1"/>
      <name val="Tafom"/>
      <charset val="238"/>
    </font>
    <font>
      <sz val="12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Tafom"/>
      <charset val="238"/>
    </font>
    <font>
      <sz val="11"/>
      <color theme="1"/>
      <name val="Calibri"/>
      <family val="2"/>
      <scheme val="minor"/>
    </font>
    <font>
      <b/>
      <i/>
      <sz val="18"/>
      <color theme="1"/>
      <name val="Tafom"/>
      <charset val="238"/>
    </font>
    <font>
      <i/>
      <sz val="12"/>
      <color theme="1"/>
      <name val="Tafom"/>
      <charset val="238"/>
    </font>
    <font>
      <sz val="12"/>
      <color theme="1"/>
      <name val="Tafo"/>
      <charset val="238"/>
    </font>
    <font>
      <b/>
      <sz val="11"/>
      <color theme="1"/>
      <name val="Tafom"/>
      <charset val="238"/>
    </font>
    <font>
      <sz val="11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Tafom"/>
      <charset val="238"/>
    </font>
    <font>
      <b/>
      <sz val="7"/>
      <color rgb="FF000000"/>
      <name val="SansSerif"/>
      <family val="2"/>
    </font>
    <font>
      <b/>
      <i/>
      <sz val="11"/>
      <color theme="1"/>
      <name val="Tafom"/>
      <charset val="238"/>
    </font>
    <font>
      <i/>
      <sz val="11"/>
      <color theme="1"/>
      <name val="Tafom"/>
      <charset val="238"/>
    </font>
    <font>
      <sz val="8"/>
      <name val="Calibri"/>
      <family val="2"/>
      <charset val="238"/>
      <scheme val="minor"/>
    </font>
    <font>
      <b/>
      <sz val="13"/>
      <color theme="1"/>
      <name val="Tafom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E5F2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5" fillId="0" borderId="0"/>
    <xf numFmtId="44" fontId="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484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3" fontId="0" fillId="0" borderId="0" xfId="0" applyNumberFormat="1"/>
    <xf numFmtId="9" fontId="0" fillId="0" borderId="0" xfId="1" applyFont="1"/>
    <xf numFmtId="165" fontId="0" fillId="0" borderId="0" xfId="1" applyNumberFormat="1" applyFont="1"/>
    <xf numFmtId="49" fontId="2" fillId="3" borderId="10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left"/>
    </xf>
    <xf numFmtId="3" fontId="0" fillId="3" borderId="11" xfId="0" applyNumberFormat="1" applyFill="1" applyBorder="1"/>
    <xf numFmtId="4" fontId="2" fillId="3" borderId="12" xfId="0" applyNumberFormat="1" applyFont="1" applyFill="1" applyBorder="1" applyAlignment="1">
      <alignment horizontal="right"/>
    </xf>
    <xf numFmtId="4" fontId="2" fillId="3" borderId="11" xfId="0" applyNumberFormat="1" applyFont="1" applyFill="1" applyBorder="1" applyAlignment="1">
      <alignment horizontal="right"/>
    </xf>
    <xf numFmtId="165" fontId="0" fillId="3" borderId="11" xfId="1" applyNumberFormat="1" applyFont="1" applyFill="1" applyBorder="1"/>
    <xf numFmtId="49" fontId="2" fillId="3" borderId="11" xfId="0" applyNumberFormat="1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3" borderId="10" xfId="0" applyNumberFormat="1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3" fontId="2" fillId="0" borderId="0" xfId="0" applyNumberFormat="1" applyFont="1" applyAlignment="1">
      <alignment horizontal="right"/>
    </xf>
    <xf numFmtId="49" fontId="2" fillId="0" borderId="1" xfId="2" applyNumberFormat="1" applyFont="1" applyBorder="1" applyAlignment="1">
      <alignment horizontal="left"/>
    </xf>
    <xf numFmtId="49" fontId="2" fillId="0" borderId="1" xfId="2" applyNumberFormat="1" applyFont="1" applyBorder="1" applyAlignment="1">
      <alignment horizontal="center"/>
    </xf>
    <xf numFmtId="0" fontId="0" fillId="6" borderId="0" xfId="0" applyFill="1"/>
    <xf numFmtId="3" fontId="0" fillId="5" borderId="0" xfId="0" applyNumberFormat="1" applyFill="1"/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3" fontId="11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0" fillId="5" borderId="0" xfId="0" applyFill="1"/>
    <xf numFmtId="0" fontId="9" fillId="5" borderId="0" xfId="0" applyFont="1" applyFill="1"/>
    <xf numFmtId="49" fontId="2" fillId="8" borderId="11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left"/>
    </xf>
    <xf numFmtId="49" fontId="2" fillId="8" borderId="10" xfId="0" applyNumberFormat="1" applyFont="1" applyFill="1" applyBorder="1" applyAlignment="1">
      <alignment horizontal="left"/>
    </xf>
    <xf numFmtId="3" fontId="2" fillId="8" borderId="11" xfId="0" applyNumberFormat="1" applyFont="1" applyFill="1" applyBorder="1" applyAlignment="1">
      <alignment horizontal="right"/>
    </xf>
    <xf numFmtId="4" fontId="8" fillId="8" borderId="11" xfId="0" applyNumberFormat="1" applyFont="1" applyFill="1" applyBorder="1" applyAlignment="1">
      <alignment horizontal="right"/>
    </xf>
    <xf numFmtId="4" fontId="2" fillId="8" borderId="11" xfId="0" applyNumberFormat="1" applyFont="1" applyFill="1" applyBorder="1" applyAlignment="1">
      <alignment horizontal="right"/>
    </xf>
    <xf numFmtId="0" fontId="0" fillId="8" borderId="11" xfId="0" applyFill="1" applyBorder="1"/>
    <xf numFmtId="9" fontId="0" fillId="8" borderId="11" xfId="1" applyFont="1" applyFill="1" applyBorder="1"/>
    <xf numFmtId="3" fontId="0" fillId="8" borderId="11" xfId="0" applyNumberFormat="1" applyFill="1" applyBorder="1"/>
    <xf numFmtId="0" fontId="9" fillId="8" borderId="11" xfId="0" applyFont="1" applyFill="1" applyBorder="1"/>
    <xf numFmtId="49" fontId="2" fillId="9" borderId="11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right"/>
    </xf>
    <xf numFmtId="3" fontId="2" fillId="9" borderId="11" xfId="0" applyNumberFormat="1" applyFont="1" applyFill="1" applyBorder="1" applyAlignment="1">
      <alignment horizontal="right"/>
    </xf>
    <xf numFmtId="4" fontId="8" fillId="9" borderId="11" xfId="0" applyNumberFormat="1" applyFont="1" applyFill="1" applyBorder="1" applyAlignment="1">
      <alignment horizontal="right"/>
    </xf>
    <xf numFmtId="4" fontId="2" fillId="9" borderId="11" xfId="0" applyNumberFormat="1" applyFont="1" applyFill="1" applyBorder="1" applyAlignment="1">
      <alignment horizontal="right"/>
    </xf>
    <xf numFmtId="0" fontId="0" fillId="9" borderId="11" xfId="0" applyFill="1" applyBorder="1"/>
    <xf numFmtId="9" fontId="0" fillId="9" borderId="11" xfId="1" applyFont="1" applyFill="1" applyBorder="1"/>
    <xf numFmtId="0" fontId="0" fillId="9" borderId="13" xfId="0" applyFill="1" applyBorder="1"/>
    <xf numFmtId="0" fontId="0" fillId="9" borderId="13" xfId="0" applyFill="1" applyBorder="1" applyAlignment="1">
      <alignment horizontal="right"/>
    </xf>
    <xf numFmtId="3" fontId="0" fillId="9" borderId="13" xfId="0" applyNumberFormat="1" applyFill="1" applyBorder="1"/>
    <xf numFmtId="0" fontId="9" fillId="9" borderId="13" xfId="0" applyFont="1" applyFill="1" applyBorder="1"/>
    <xf numFmtId="49" fontId="2" fillId="7" borderId="11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left"/>
    </xf>
    <xf numFmtId="0" fontId="0" fillId="7" borderId="11" xfId="0" applyFill="1" applyBorder="1"/>
    <xf numFmtId="3" fontId="2" fillId="7" borderId="11" xfId="0" applyNumberFormat="1" applyFont="1" applyFill="1" applyBorder="1" applyAlignment="1">
      <alignment horizontal="right"/>
    </xf>
    <xf numFmtId="4" fontId="8" fillId="7" borderId="11" xfId="0" applyNumberFormat="1" applyFont="1" applyFill="1" applyBorder="1" applyAlignment="1">
      <alignment horizontal="right"/>
    </xf>
    <xf numFmtId="4" fontId="2" fillId="7" borderId="11" xfId="0" applyNumberFormat="1" applyFont="1" applyFill="1" applyBorder="1" applyAlignment="1">
      <alignment horizontal="right"/>
    </xf>
    <xf numFmtId="9" fontId="0" fillId="7" borderId="11" xfId="1" applyFont="1" applyFill="1" applyBorder="1"/>
    <xf numFmtId="3" fontId="0" fillId="7" borderId="11" xfId="0" applyNumberFormat="1" applyFill="1" applyBorder="1"/>
    <xf numFmtId="0" fontId="9" fillId="7" borderId="11" xfId="0" applyFont="1" applyFill="1" applyBorder="1"/>
    <xf numFmtId="0" fontId="14" fillId="0" borderId="14" xfId="0" applyFont="1" applyBorder="1"/>
    <xf numFmtId="0" fontId="14" fillId="0" borderId="15" xfId="0" applyFont="1" applyBorder="1"/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2" xfId="0" applyNumberFormat="1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3" fontId="14" fillId="0" borderId="23" xfId="0" applyNumberFormat="1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4" fillId="0" borderId="25" xfId="0" applyNumberFormat="1" applyFont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3" fontId="15" fillId="0" borderId="27" xfId="0" applyNumberFormat="1" applyFont="1" applyBorder="1" applyAlignment="1">
      <alignment vertical="center"/>
    </xf>
    <xf numFmtId="3" fontId="15" fillId="0" borderId="28" xfId="0" applyNumberFormat="1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7" fillId="0" borderId="0" xfId="0" applyFont="1"/>
    <xf numFmtId="0" fontId="14" fillId="0" borderId="0" xfId="0" applyFont="1"/>
    <xf numFmtId="3" fontId="14" fillId="0" borderId="0" xfId="0" applyNumberFormat="1" applyFont="1"/>
    <xf numFmtId="0" fontId="14" fillId="2" borderId="6" xfId="0" applyFont="1" applyFill="1" applyBorder="1"/>
    <xf numFmtId="3" fontId="14" fillId="2" borderId="6" xfId="0" applyNumberFormat="1" applyFont="1" applyFill="1" applyBorder="1"/>
    <xf numFmtId="0" fontId="14" fillId="0" borderId="6" xfId="0" applyFont="1" applyBorder="1"/>
    <xf numFmtId="3" fontId="14" fillId="0" borderId="6" xfId="0" applyNumberFormat="1" applyFont="1" applyBorder="1"/>
    <xf numFmtId="0" fontId="15" fillId="0" borderId="9" xfId="0" applyFont="1" applyBorder="1"/>
    <xf numFmtId="0" fontId="15" fillId="0" borderId="9" xfId="0" applyFont="1" applyBorder="1" applyAlignment="1">
      <alignment horizontal="center" wrapText="1"/>
    </xf>
    <xf numFmtId="3" fontId="15" fillId="0" borderId="9" xfId="0" applyNumberFormat="1" applyFont="1" applyBorder="1" applyAlignment="1">
      <alignment horizontal="center" wrapText="1"/>
    </xf>
    <xf numFmtId="3" fontId="15" fillId="0" borderId="9" xfId="0" applyNumberFormat="1" applyFont="1" applyBorder="1"/>
    <xf numFmtId="0" fontId="15" fillId="3" borderId="6" xfId="0" applyFont="1" applyFill="1" applyBorder="1"/>
    <xf numFmtId="3" fontId="15" fillId="3" borderId="6" xfId="0" applyNumberFormat="1" applyFont="1" applyFill="1" applyBorder="1"/>
    <xf numFmtId="0" fontId="15" fillId="0" borderId="0" xfId="0" applyFont="1"/>
    <xf numFmtId="3" fontId="13" fillId="0" borderId="0" xfId="0" applyNumberFormat="1" applyFont="1"/>
    <xf numFmtId="3" fontId="13" fillId="0" borderId="7" xfId="0" applyNumberFormat="1" applyFont="1" applyBorder="1"/>
    <xf numFmtId="3" fontId="13" fillId="0" borderId="8" xfId="0" applyNumberFormat="1" applyFont="1" applyBorder="1"/>
    <xf numFmtId="3" fontId="1" fillId="0" borderId="0" xfId="0" applyNumberFormat="1" applyFont="1" applyAlignment="1">
      <alignment horizontal="right"/>
    </xf>
    <xf numFmtId="3" fontId="1" fillId="8" borderId="11" xfId="0" applyNumberFormat="1" applyFont="1" applyFill="1" applyBorder="1" applyAlignment="1">
      <alignment horizontal="right"/>
    </xf>
    <xf numFmtId="3" fontId="1" fillId="9" borderId="11" xfId="0" applyNumberFormat="1" applyFont="1" applyFill="1" applyBorder="1" applyAlignment="1">
      <alignment horizontal="right"/>
    </xf>
    <xf numFmtId="3" fontId="1" fillId="7" borderId="11" xfId="0" applyNumberFormat="1" applyFont="1" applyFill="1" applyBorder="1" applyAlignment="1">
      <alignment horizontal="right"/>
    </xf>
    <xf numFmtId="0" fontId="13" fillId="0" borderId="0" xfId="0" applyFont="1"/>
    <xf numFmtId="3" fontId="13" fillId="4" borderId="0" xfId="0" applyNumberFormat="1" applyFont="1" applyFill="1"/>
    <xf numFmtId="3" fontId="13" fillId="8" borderId="11" xfId="0" applyNumberFormat="1" applyFont="1" applyFill="1" applyBorder="1"/>
    <xf numFmtId="3" fontId="13" fillId="9" borderId="13" xfId="0" applyNumberFormat="1" applyFont="1" applyFill="1" applyBorder="1"/>
    <xf numFmtId="3" fontId="13" fillId="7" borderId="11" xfId="0" applyNumberFormat="1" applyFont="1" applyFill="1" applyBorder="1"/>
    <xf numFmtId="3" fontId="13" fillId="5" borderId="0" xfId="0" applyNumberFormat="1" applyFont="1" applyFill="1"/>
    <xf numFmtId="14" fontId="0" fillId="0" borderId="0" xfId="0" applyNumberFormat="1"/>
    <xf numFmtId="14" fontId="14" fillId="0" borderId="0" xfId="0" applyNumberFormat="1" applyFont="1"/>
    <xf numFmtId="0" fontId="0" fillId="4" borderId="11" xfId="0" applyFill="1" applyBorder="1"/>
    <xf numFmtId="4" fontId="0" fillId="4" borderId="11" xfId="0" applyNumberFormat="1" applyFill="1" applyBorder="1"/>
    <xf numFmtId="0" fontId="7" fillId="4" borderId="11" xfId="0" applyFont="1" applyFill="1" applyBorder="1"/>
    <xf numFmtId="3" fontId="0" fillId="4" borderId="11" xfId="0" applyNumberFormat="1" applyFill="1" applyBorder="1"/>
    <xf numFmtId="165" fontId="0" fillId="4" borderId="11" xfId="1" applyNumberFormat="1" applyFont="1" applyFill="1" applyBorder="1"/>
    <xf numFmtId="165" fontId="2" fillId="8" borderId="11" xfId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10" borderId="0" xfId="0" applyFill="1"/>
    <xf numFmtId="3" fontId="0" fillId="10" borderId="0" xfId="0" applyNumberFormat="1" applyFill="1"/>
    <xf numFmtId="17" fontId="0" fillId="0" borderId="0" xfId="0" applyNumberFormat="1"/>
    <xf numFmtId="4" fontId="0" fillId="0" borderId="32" xfId="0" applyNumberFormat="1" applyBorder="1"/>
    <xf numFmtId="3" fontId="2" fillId="3" borderId="11" xfId="0" applyNumberFormat="1" applyFont="1" applyFill="1" applyBorder="1" applyAlignment="1">
      <alignment horizontal="right"/>
    </xf>
    <xf numFmtId="0" fontId="0" fillId="4" borderId="0" xfId="0" applyFill="1"/>
    <xf numFmtId="9" fontId="0" fillId="0" borderId="0" xfId="0" applyNumberFormat="1"/>
    <xf numFmtId="3" fontId="19" fillId="0" borderId="0" xfId="0" applyNumberFormat="1" applyFont="1"/>
    <xf numFmtId="3" fontId="2" fillId="3" borderId="0" xfId="0" applyNumberFormat="1" applyFont="1" applyFill="1" applyAlignment="1">
      <alignment horizontal="right"/>
    </xf>
    <xf numFmtId="4" fontId="0" fillId="4" borderId="0" xfId="0" applyNumberFormat="1" applyFill="1"/>
    <xf numFmtId="9" fontId="19" fillId="0" borderId="0" xfId="0" applyNumberFormat="1" applyFont="1"/>
    <xf numFmtId="0" fontId="12" fillId="6" borderId="0" xfId="0" applyFont="1" applyFill="1" applyAlignment="1">
      <alignment horizontal="center" textRotation="90"/>
    </xf>
    <xf numFmtId="3" fontId="13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21" fillId="6" borderId="0" xfId="0" applyNumberFormat="1" applyFont="1" applyFill="1" applyAlignment="1">
      <alignment horizontal="center" textRotation="90"/>
    </xf>
    <xf numFmtId="9" fontId="1" fillId="8" borderId="0" xfId="1" applyFont="1" applyFill="1" applyBorder="1" applyAlignment="1">
      <alignment horizontal="right"/>
    </xf>
    <xf numFmtId="9" fontId="1" fillId="7" borderId="0" xfId="1" applyFont="1" applyFill="1" applyBorder="1" applyAlignment="1">
      <alignment horizontal="right"/>
    </xf>
    <xf numFmtId="3" fontId="0" fillId="0" borderId="0" xfId="3" applyNumberFormat="1" applyFont="1"/>
    <xf numFmtId="3" fontId="13" fillId="11" borderId="0" xfId="0" applyNumberFormat="1" applyFont="1" applyFill="1"/>
    <xf numFmtId="0" fontId="0" fillId="12" borderId="0" xfId="0" applyFill="1"/>
    <xf numFmtId="3" fontId="0" fillId="12" borderId="0" xfId="0" applyNumberFormat="1" applyFill="1"/>
    <xf numFmtId="0" fontId="9" fillId="12" borderId="0" xfId="0" applyFont="1" applyFill="1"/>
    <xf numFmtId="3" fontId="13" fillId="12" borderId="0" xfId="0" applyNumberFormat="1" applyFont="1" applyFill="1"/>
    <xf numFmtId="165" fontId="13" fillId="12" borderId="32" xfId="1" applyNumberFormat="1" applyFont="1" applyFill="1" applyBorder="1"/>
    <xf numFmtId="3" fontId="13" fillId="3" borderId="11" xfId="0" applyNumberFormat="1" applyFont="1" applyFill="1" applyBorder="1"/>
    <xf numFmtId="3" fontId="1" fillId="3" borderId="11" xfId="0" applyNumberFormat="1" applyFont="1" applyFill="1" applyBorder="1" applyAlignment="1">
      <alignment horizontal="right"/>
    </xf>
    <xf numFmtId="4" fontId="1" fillId="3" borderId="11" xfId="0" applyNumberFormat="1" applyFont="1" applyFill="1" applyBorder="1" applyAlignment="1">
      <alignment horizontal="right"/>
    </xf>
    <xf numFmtId="3" fontId="2" fillId="9" borderId="0" xfId="0" applyNumberFormat="1" applyFont="1" applyFill="1" applyAlignment="1">
      <alignment horizontal="right"/>
    </xf>
    <xf numFmtId="4" fontId="8" fillId="9" borderId="0" xfId="0" applyNumberFormat="1" applyFont="1" applyFill="1" applyAlignment="1">
      <alignment horizontal="right"/>
    </xf>
    <xf numFmtId="4" fontId="2" fillId="9" borderId="0" xfId="0" applyNumberFormat="1" applyFont="1" applyFill="1" applyAlignment="1">
      <alignment horizontal="right"/>
    </xf>
    <xf numFmtId="0" fontId="0" fillId="9" borderId="0" xfId="0" applyFill="1"/>
    <xf numFmtId="3" fontId="1" fillId="7" borderId="0" xfId="0" applyNumberFormat="1" applyFont="1" applyFill="1" applyAlignment="1">
      <alignment horizontal="right"/>
    </xf>
    <xf numFmtId="9" fontId="0" fillId="7" borderId="0" xfId="1" applyFont="1" applyFill="1" applyBorder="1"/>
    <xf numFmtId="0" fontId="0" fillId="7" borderId="0" xfId="0" applyFill="1"/>
    <xf numFmtId="4" fontId="13" fillId="4" borderId="11" xfId="0" applyNumberFormat="1" applyFont="1" applyFill="1" applyBorder="1"/>
    <xf numFmtId="4" fontId="6" fillId="0" borderId="0" xfId="0" applyNumberFormat="1" applyFont="1" applyAlignment="1">
      <alignment horizontal="right"/>
    </xf>
    <xf numFmtId="9" fontId="0" fillId="0" borderId="0" xfId="1" applyFont="1" applyFill="1" applyBorder="1"/>
    <xf numFmtId="9" fontId="0" fillId="0" borderId="0" xfId="1" applyFont="1" applyFill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33" xfId="0" applyNumberFormat="1" applyBorder="1" applyAlignment="1">
      <alignment horizontal="left"/>
    </xf>
    <xf numFmtId="0" fontId="23" fillId="13" borderId="0" xfId="0" applyFont="1" applyFill="1"/>
    <xf numFmtId="3" fontId="22" fillId="13" borderId="0" xfId="0" applyNumberFormat="1" applyFont="1" applyFill="1"/>
    <xf numFmtId="3" fontId="13" fillId="13" borderId="0" xfId="0" applyNumberFormat="1" applyFont="1" applyFill="1"/>
    <xf numFmtId="3" fontId="23" fillId="13" borderId="0" xfId="0" applyNumberFormat="1" applyFont="1" applyFill="1"/>
    <xf numFmtId="3" fontId="23" fillId="0" borderId="0" xfId="0" applyNumberFormat="1" applyFont="1"/>
    <xf numFmtId="0" fontId="23" fillId="0" borderId="0" xfId="0" applyFont="1"/>
    <xf numFmtId="3" fontId="22" fillId="0" borderId="0" xfId="0" applyNumberFormat="1" applyFont="1"/>
    <xf numFmtId="0" fontId="22" fillId="0" borderId="0" xfId="0" applyFont="1"/>
    <xf numFmtId="4" fontId="0" fillId="0" borderId="0" xfId="0" applyNumberFormat="1"/>
    <xf numFmtId="3" fontId="13" fillId="3" borderId="0" xfId="0" applyNumberFormat="1" applyFont="1" applyFill="1"/>
    <xf numFmtId="3" fontId="1" fillId="3" borderId="0" xfId="0" applyNumberFormat="1" applyFont="1" applyFill="1" applyAlignment="1">
      <alignment horizontal="right"/>
    </xf>
    <xf numFmtId="1" fontId="13" fillId="0" borderId="0" xfId="0" applyNumberFormat="1" applyFont="1"/>
    <xf numFmtId="165" fontId="2" fillId="0" borderId="0" xfId="1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left" vertical="top"/>
    </xf>
    <xf numFmtId="49" fontId="2" fillId="0" borderId="42" xfId="0" applyNumberFormat="1" applyFont="1" applyBorder="1" applyAlignment="1">
      <alignment horizontal="center"/>
    </xf>
    <xf numFmtId="3" fontId="0" fillId="13" borderId="0" xfId="0" applyNumberFormat="1" applyFill="1"/>
    <xf numFmtId="3" fontId="1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165" fontId="27" fillId="0" borderId="0" xfId="1" applyNumberFormat="1" applyFont="1"/>
    <xf numFmtId="165" fontId="27" fillId="0" borderId="6" xfId="1" applyNumberFormat="1" applyFont="1" applyBorder="1"/>
    <xf numFmtId="165" fontId="27" fillId="0" borderId="43" xfId="1" applyNumberFormat="1" applyFont="1" applyBorder="1"/>
    <xf numFmtId="3" fontId="27" fillId="0" borderId="0" xfId="0" applyNumberFormat="1" applyFont="1"/>
    <xf numFmtId="3" fontId="24" fillId="0" borderId="0" xfId="0" applyNumberFormat="1" applyFont="1"/>
    <xf numFmtId="3" fontId="27" fillId="2" borderId="0" xfId="0" applyNumberFormat="1" applyFont="1" applyFill="1"/>
    <xf numFmtId="3" fontId="24" fillId="3" borderId="0" xfId="0" applyNumberFormat="1" applyFont="1" applyFill="1"/>
    <xf numFmtId="0" fontId="24" fillId="0" borderId="0" xfId="0" applyFont="1"/>
    <xf numFmtId="3" fontId="24" fillId="0" borderId="9" xfId="0" applyNumberFormat="1" applyFont="1" applyBorder="1"/>
    <xf numFmtId="165" fontId="27" fillId="0" borderId="9" xfId="1" applyNumberFormat="1" applyFont="1" applyBorder="1"/>
    <xf numFmtId="3" fontId="24" fillId="0" borderId="9" xfId="0" applyNumberFormat="1" applyFont="1" applyBorder="1" applyAlignment="1">
      <alignment horizontal="center" wrapText="1"/>
    </xf>
    <xf numFmtId="0" fontId="27" fillId="0" borderId="9" xfId="0" applyFont="1" applyBorder="1"/>
    <xf numFmtId="0" fontId="14" fillId="0" borderId="0" xfId="0" applyFont="1" applyAlignment="1">
      <alignment horizontal="center"/>
    </xf>
    <xf numFmtId="165" fontId="0" fillId="0" borderId="11" xfId="1" applyNumberFormat="1" applyFont="1" applyBorder="1"/>
    <xf numFmtId="3" fontId="18" fillId="0" borderId="31" xfId="0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3" fontId="14" fillId="0" borderId="44" xfId="0" applyNumberFormat="1" applyFont="1" applyBorder="1" applyAlignment="1">
      <alignment vertical="center"/>
    </xf>
    <xf numFmtId="3" fontId="18" fillId="0" borderId="45" xfId="0" applyNumberFormat="1" applyFont="1" applyBorder="1" applyAlignment="1">
      <alignment vertical="center"/>
    </xf>
    <xf numFmtId="0" fontId="28" fillId="0" borderId="0" xfId="0" applyFont="1"/>
    <xf numFmtId="0" fontId="0" fillId="15" borderId="0" xfId="0" applyFill="1"/>
    <xf numFmtId="0" fontId="14" fillId="0" borderId="9" xfId="0" applyFont="1" applyBorder="1"/>
    <xf numFmtId="0" fontId="29" fillId="0" borderId="9" xfId="0" applyFont="1" applyBorder="1" applyAlignment="1">
      <alignment wrapText="1"/>
    </xf>
    <xf numFmtId="9" fontId="1" fillId="0" borderId="0" xfId="1" applyFont="1" applyFill="1" applyBorder="1" applyAlignment="1">
      <alignment horizontal="right"/>
    </xf>
    <xf numFmtId="165" fontId="0" fillId="0" borderId="0" xfId="1" applyNumberFormat="1" applyFont="1" applyFill="1"/>
    <xf numFmtId="0" fontId="14" fillId="0" borderId="0" xfId="0" applyFont="1" applyAlignment="1">
      <alignment horizontal="right"/>
    </xf>
    <xf numFmtId="3" fontId="17" fillId="0" borderId="0" xfId="0" applyNumberFormat="1" applyFont="1"/>
    <xf numFmtId="3" fontId="0" fillId="11" borderId="0" xfId="0" applyNumberFormat="1" applyFill="1"/>
    <xf numFmtId="0" fontId="0" fillId="11" borderId="0" xfId="0" applyFill="1"/>
    <xf numFmtId="0" fontId="0" fillId="16" borderId="0" xfId="0" applyFill="1"/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165" fontId="7" fillId="0" borderId="0" xfId="1" applyNumberFormat="1" applyFont="1"/>
    <xf numFmtId="165" fontId="7" fillId="8" borderId="11" xfId="1" applyNumberFormat="1" applyFont="1" applyFill="1" applyBorder="1"/>
    <xf numFmtId="165" fontId="7" fillId="7" borderId="11" xfId="1" applyNumberFormat="1" applyFont="1" applyFill="1" applyBorder="1"/>
    <xf numFmtId="0" fontId="32" fillId="16" borderId="0" xfId="0" applyFont="1" applyFill="1"/>
    <xf numFmtId="165" fontId="7" fillId="12" borderId="0" xfId="1" applyNumberFormat="1" applyFont="1" applyFill="1"/>
    <xf numFmtId="165" fontId="31" fillId="3" borderId="11" xfId="1" applyNumberFormat="1" applyFont="1" applyFill="1" applyBorder="1"/>
    <xf numFmtId="165" fontId="31" fillId="4" borderId="11" xfId="1" applyNumberFormat="1" applyFont="1" applyFill="1" applyBorder="1"/>
    <xf numFmtId="165" fontId="31" fillId="0" borderId="11" xfId="1" applyNumberFormat="1" applyFont="1" applyFill="1" applyBorder="1"/>
    <xf numFmtId="3" fontId="13" fillId="8" borderId="13" xfId="0" applyNumberFormat="1" applyFont="1" applyFill="1" applyBorder="1"/>
    <xf numFmtId="3" fontId="18" fillId="0" borderId="20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right" vertical="center" wrapText="1"/>
    </xf>
    <xf numFmtId="3" fontId="14" fillId="0" borderId="47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3" fontId="14" fillId="0" borderId="48" xfId="0" applyNumberFormat="1" applyFont="1" applyBorder="1" applyAlignment="1">
      <alignment horizontal="right" vertical="center" wrapText="1"/>
    </xf>
    <xf numFmtId="3" fontId="14" fillId="0" borderId="16" xfId="0" applyNumberFormat="1" applyFont="1" applyBorder="1" applyAlignment="1">
      <alignment horizontal="right" vertical="center" wrapText="1"/>
    </xf>
    <xf numFmtId="3" fontId="14" fillId="0" borderId="23" xfId="0" applyNumberFormat="1" applyFont="1" applyBorder="1" applyAlignment="1">
      <alignment horizontal="right" vertical="center" wrapText="1"/>
    </xf>
    <xf numFmtId="3" fontId="14" fillId="0" borderId="44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3" fontId="14" fillId="0" borderId="22" xfId="0" applyNumberFormat="1" applyFont="1" applyBorder="1" applyAlignment="1">
      <alignment horizontal="right" vertical="center" wrapText="1"/>
    </xf>
    <xf numFmtId="3" fontId="14" fillId="0" borderId="25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14" fillId="0" borderId="26" xfId="0" applyNumberFormat="1" applyFont="1" applyBorder="1" applyAlignment="1">
      <alignment horizontal="right" vertical="center" wrapText="1"/>
    </xf>
    <xf numFmtId="3" fontId="18" fillId="0" borderId="25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3" fontId="18" fillId="0" borderId="26" xfId="0" applyNumberFormat="1" applyFont="1" applyBorder="1" applyAlignment="1">
      <alignment horizontal="right" vertical="center"/>
    </xf>
    <xf numFmtId="0" fontId="15" fillId="0" borderId="49" xfId="0" applyFont="1" applyBorder="1" applyAlignment="1">
      <alignment vertical="center"/>
    </xf>
    <xf numFmtId="3" fontId="15" fillId="0" borderId="50" xfId="0" applyNumberFormat="1" applyFont="1" applyBorder="1" applyAlignment="1">
      <alignment horizontal="right" vertical="center"/>
    </xf>
    <xf numFmtId="3" fontId="15" fillId="0" borderId="51" xfId="0" applyNumberFormat="1" applyFont="1" applyBorder="1" applyAlignment="1">
      <alignment horizontal="right" vertical="center"/>
    </xf>
    <xf numFmtId="3" fontId="15" fillId="0" borderId="52" xfId="0" applyNumberFormat="1" applyFont="1" applyBorder="1" applyAlignment="1">
      <alignment horizontal="right" vertical="center"/>
    </xf>
    <xf numFmtId="0" fontId="15" fillId="0" borderId="50" xfId="0" applyFont="1" applyBorder="1" applyAlignment="1">
      <alignment vertical="center"/>
    </xf>
    <xf numFmtId="3" fontId="18" fillId="0" borderId="47" xfId="0" applyNumberFormat="1" applyFont="1" applyBorder="1" applyAlignment="1">
      <alignment horizontal="right" vertical="center"/>
    </xf>
    <xf numFmtId="3" fontId="18" fillId="0" borderId="22" xfId="0" applyNumberFormat="1" applyFont="1" applyBorder="1" applyAlignment="1">
      <alignment horizontal="right" vertical="center"/>
    </xf>
    <xf numFmtId="0" fontId="15" fillId="0" borderId="53" xfId="0" applyFont="1" applyBorder="1" applyAlignment="1">
      <alignment vertical="center"/>
    </xf>
    <xf numFmtId="0" fontId="15" fillId="0" borderId="54" xfId="0" applyFont="1" applyBorder="1" applyAlignment="1">
      <alignment horizontal="left" vertical="center"/>
    </xf>
    <xf numFmtId="3" fontId="15" fillId="0" borderId="53" xfId="0" applyNumberFormat="1" applyFont="1" applyBorder="1" applyAlignment="1">
      <alignment horizontal="right" vertical="center"/>
    </xf>
    <xf numFmtId="3" fontId="15" fillId="0" borderId="55" xfId="0" applyNumberFormat="1" applyFont="1" applyBorder="1" applyAlignment="1">
      <alignment horizontal="right" vertical="center"/>
    </xf>
    <xf numFmtId="1" fontId="13" fillId="0" borderId="0" xfId="0" applyNumberFormat="1" applyFont="1" applyAlignment="1">
      <alignment horizontal="center"/>
    </xf>
    <xf numFmtId="49" fontId="2" fillId="7" borderId="13" xfId="0" applyNumberFormat="1" applyFont="1" applyFill="1" applyBorder="1" applyAlignment="1">
      <alignment horizontal="center"/>
    </xf>
    <xf numFmtId="49" fontId="2" fillId="7" borderId="13" xfId="0" applyNumberFormat="1" applyFont="1" applyFill="1" applyBorder="1" applyAlignment="1">
      <alignment horizontal="left"/>
    </xf>
    <xf numFmtId="3" fontId="1" fillId="7" borderId="13" xfId="0" applyNumberFormat="1" applyFont="1" applyFill="1" applyBorder="1" applyAlignment="1">
      <alignment horizontal="right"/>
    </xf>
    <xf numFmtId="9" fontId="0" fillId="7" borderId="13" xfId="1" applyFont="1" applyFill="1" applyBorder="1"/>
    <xf numFmtId="165" fontId="7" fillId="7" borderId="13" xfId="1" applyNumberFormat="1" applyFont="1" applyFill="1" applyBorder="1"/>
    <xf numFmtId="3" fontId="22" fillId="8" borderId="11" xfId="0" applyNumberFormat="1" applyFont="1" applyFill="1" applyBorder="1"/>
    <xf numFmtId="0" fontId="32" fillId="8" borderId="11" xfId="0" applyFont="1" applyFill="1" applyBorder="1"/>
    <xf numFmtId="0" fontId="0" fillId="0" borderId="0" xfId="0" applyAlignment="1">
      <alignment horizontal="left"/>
    </xf>
    <xf numFmtId="0" fontId="0" fillId="8" borderId="11" xfId="0" applyFill="1" applyBorder="1" applyAlignment="1">
      <alignment horizontal="left"/>
    </xf>
    <xf numFmtId="0" fontId="0" fillId="9" borderId="11" xfId="0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9" borderId="13" xfId="0" applyFill="1" applyBorder="1" applyAlignment="1">
      <alignment horizontal="left"/>
    </xf>
    <xf numFmtId="0" fontId="0" fillId="12" borderId="0" xfId="0" applyFill="1" applyAlignment="1">
      <alignment horizontal="left"/>
    </xf>
    <xf numFmtId="3" fontId="0" fillId="2" borderId="0" xfId="0" applyNumberFormat="1" applyFill="1"/>
    <xf numFmtId="3" fontId="0" fillId="7" borderId="0" xfId="0" applyNumberFormat="1" applyFill="1"/>
    <xf numFmtId="165" fontId="7" fillId="0" borderId="0" xfId="1" applyNumberFormat="1" applyFont="1" applyFill="1" applyBorder="1"/>
    <xf numFmtId="9" fontId="1" fillId="8" borderId="11" xfId="1" applyFont="1" applyFill="1" applyBorder="1" applyAlignment="1">
      <alignment horizontal="right"/>
    </xf>
    <xf numFmtId="0" fontId="22" fillId="0" borderId="11" xfId="0" applyFont="1" applyBorder="1"/>
    <xf numFmtId="3" fontId="22" fillId="13" borderId="11" xfId="0" applyNumberFormat="1" applyFont="1" applyFill="1" applyBorder="1"/>
    <xf numFmtId="0" fontId="0" fillId="0" borderId="11" xfId="0" applyBorder="1"/>
    <xf numFmtId="165" fontId="2" fillId="0" borderId="11" xfId="1" applyNumberFormat="1" applyFont="1" applyFill="1" applyBorder="1" applyAlignment="1">
      <alignment horizontal="right"/>
    </xf>
    <xf numFmtId="0" fontId="0" fillId="15" borderId="11" xfId="0" applyFill="1" applyBorder="1"/>
    <xf numFmtId="0" fontId="32" fillId="0" borderId="11" xfId="0" applyFont="1" applyBorder="1"/>
    <xf numFmtId="3" fontId="2" fillId="11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13" fillId="0" borderId="8" xfId="0" applyNumberFormat="1" applyFont="1" applyBorder="1" applyAlignment="1">
      <alignment wrapText="1"/>
    </xf>
    <xf numFmtId="0" fontId="0" fillId="10" borderId="0" xfId="0" applyFill="1" applyAlignment="1">
      <alignment wrapText="1"/>
    </xf>
    <xf numFmtId="0" fontId="1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13" borderId="0" xfId="0" applyFont="1" applyFill="1" applyAlignment="1">
      <alignment wrapText="1"/>
    </xf>
    <xf numFmtId="0" fontId="13" fillId="0" borderId="0" xfId="0" applyFont="1" applyAlignment="1">
      <alignment horizontal="center" vertical="center" wrapText="1"/>
    </xf>
    <xf numFmtId="0" fontId="0" fillId="15" borderId="0" xfId="0" applyFill="1" applyAlignment="1">
      <alignment wrapText="1"/>
    </xf>
    <xf numFmtId="3" fontId="13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3" fontId="13" fillId="11" borderId="0" xfId="0" applyNumberFormat="1" applyFont="1" applyFill="1" applyAlignment="1">
      <alignment horizontal="center" wrapText="1"/>
    </xf>
    <xf numFmtId="3" fontId="20" fillId="0" borderId="0" xfId="0" applyNumberFormat="1" applyFont="1" applyAlignment="1">
      <alignment horizontal="center"/>
    </xf>
    <xf numFmtId="3" fontId="1" fillId="0" borderId="11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3" fillId="0" borderId="11" xfId="0" applyNumberFormat="1" applyFont="1" applyBorder="1"/>
    <xf numFmtId="3" fontId="13" fillId="0" borderId="13" xfId="0" applyNumberFormat="1" applyFont="1" applyBorder="1"/>
    <xf numFmtId="3" fontId="2" fillId="8" borderId="0" xfId="0" applyNumberFormat="1" applyFont="1" applyFill="1" applyAlignment="1">
      <alignment horizontal="right"/>
    </xf>
    <xf numFmtId="4" fontId="8" fillId="8" borderId="0" xfId="0" applyNumberFormat="1" applyFont="1" applyFill="1" applyAlignment="1">
      <alignment horizontal="right"/>
    </xf>
    <xf numFmtId="165" fontId="2" fillId="8" borderId="0" xfId="1" applyNumberFormat="1" applyFont="1" applyFill="1" applyBorder="1" applyAlignment="1">
      <alignment horizontal="right"/>
    </xf>
    <xf numFmtId="0" fontId="0" fillId="8" borderId="0" xfId="0" applyFill="1"/>
    <xf numFmtId="3" fontId="1" fillId="8" borderId="0" xfId="0" applyNumberFormat="1" applyFont="1" applyFill="1" applyAlignment="1">
      <alignment horizontal="right"/>
    </xf>
    <xf numFmtId="9" fontId="0" fillId="8" borderId="0" xfId="1" applyFont="1" applyFill="1" applyBorder="1"/>
    <xf numFmtId="165" fontId="7" fillId="8" borderId="0" xfId="1" applyNumberFormat="1" applyFont="1" applyFill="1" applyBorder="1"/>
    <xf numFmtId="3" fontId="1" fillId="17" borderId="0" xfId="0" applyNumberFormat="1" applyFont="1" applyFill="1" applyAlignment="1">
      <alignment horizontal="right"/>
    </xf>
    <xf numFmtId="3" fontId="1" fillId="17" borderId="56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 vertical="top"/>
    </xf>
    <xf numFmtId="3" fontId="0" fillId="0" borderId="11" xfId="0" applyNumberFormat="1" applyBorder="1"/>
    <xf numFmtId="44" fontId="0" fillId="0" borderId="0" xfId="5" applyFont="1"/>
    <xf numFmtId="44" fontId="33" fillId="0" borderId="0" xfId="5" applyFont="1" applyAlignment="1"/>
    <xf numFmtId="44" fontId="16" fillId="0" borderId="0" xfId="5" applyFont="1" applyAlignment="1"/>
    <xf numFmtId="1" fontId="1" fillId="0" borderId="0" xfId="0" applyNumberFormat="1" applyFont="1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10" borderId="0" xfId="0" applyNumberFormat="1" applyFill="1"/>
    <xf numFmtId="1" fontId="22" fillId="0" borderId="0" xfId="0" applyNumberFormat="1" applyFont="1"/>
    <xf numFmtId="1" fontId="20" fillId="0" borderId="0" xfId="0" applyNumberFormat="1" applyFont="1" applyAlignment="1">
      <alignment horizontal="center"/>
    </xf>
    <xf numFmtId="1" fontId="0" fillId="15" borderId="0" xfId="0" applyNumberFormat="1" applyFill="1"/>
    <xf numFmtId="1" fontId="32" fillId="0" borderId="0" xfId="0" applyNumberFormat="1" applyFont="1"/>
    <xf numFmtId="4" fontId="0" fillId="11" borderId="0" xfId="0" applyNumberFormat="1" applyFill="1"/>
    <xf numFmtId="3" fontId="21" fillId="5" borderId="0" xfId="0" applyNumberFormat="1" applyFont="1" applyFill="1"/>
    <xf numFmtId="165" fontId="21" fillId="0" borderId="0" xfId="1" applyNumberFormat="1" applyFont="1"/>
    <xf numFmtId="3" fontId="1" fillId="9" borderId="0" xfId="0" applyNumberFormat="1" applyFont="1" applyFill="1" applyAlignment="1">
      <alignment horizontal="right"/>
    </xf>
    <xf numFmtId="9" fontId="0" fillId="9" borderId="0" xfId="1" applyFont="1" applyFill="1" applyBorder="1"/>
    <xf numFmtId="0" fontId="14" fillId="0" borderId="9" xfId="0" applyFont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3" fontId="15" fillId="0" borderId="58" xfId="0" applyNumberFormat="1" applyFont="1" applyBorder="1" applyAlignment="1">
      <alignment vertical="center"/>
    </xf>
    <xf numFmtId="3" fontId="15" fillId="0" borderId="59" xfId="0" applyNumberFormat="1" applyFont="1" applyBorder="1" applyAlignment="1">
      <alignment vertical="center"/>
    </xf>
    <xf numFmtId="3" fontId="15" fillId="0" borderId="60" xfId="0" applyNumberFormat="1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30" xfId="0" applyFont="1" applyBorder="1" applyAlignment="1">
      <alignment horizontal="left" vertical="center"/>
    </xf>
    <xf numFmtId="3" fontId="14" fillId="0" borderId="0" xfId="0" applyNumberFormat="1" applyFont="1" applyAlignment="1">
      <alignment vertical="center"/>
    </xf>
    <xf numFmtId="0" fontId="21" fillId="5" borderId="0" xfId="0" applyFont="1" applyFill="1"/>
    <xf numFmtId="0" fontId="21" fillId="5" borderId="0" xfId="0" applyFont="1" applyFill="1" applyAlignment="1">
      <alignment horizontal="left"/>
    </xf>
    <xf numFmtId="0" fontId="15" fillId="0" borderId="57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/>
    </xf>
    <xf numFmtId="1" fontId="20" fillId="0" borderId="0" xfId="0" applyNumberFormat="1" applyFont="1" applyAlignment="1">
      <alignment horizontal="center" vertical="center"/>
    </xf>
    <xf numFmtId="0" fontId="15" fillId="0" borderId="9" xfId="0" applyFont="1" applyBorder="1" applyAlignment="1">
      <alignment wrapText="1"/>
    </xf>
    <xf numFmtId="49" fontId="2" fillId="0" borderId="2" xfId="0" applyNumberFormat="1" applyFont="1" applyBorder="1" applyAlignment="1">
      <alignment horizontal="left"/>
    </xf>
    <xf numFmtId="14" fontId="0" fillId="11" borderId="0" xfId="0" applyNumberFormat="1" applyFill="1"/>
    <xf numFmtId="49" fontId="2" fillId="0" borderId="0" xfId="0" applyNumberFormat="1" applyFont="1" applyAlignment="1">
      <alignment horizontal="right"/>
    </xf>
    <xf numFmtId="49" fontId="2" fillId="8" borderId="11" xfId="0" applyNumberFormat="1" applyFont="1" applyFill="1" applyBorder="1" applyAlignment="1">
      <alignment horizontal="right"/>
    </xf>
    <xf numFmtId="3" fontId="13" fillId="11" borderId="0" xfId="0" applyNumberFormat="1" applyFont="1" applyFill="1" applyAlignment="1">
      <alignment wrapText="1"/>
    </xf>
    <xf numFmtId="1" fontId="21" fillId="0" borderId="0" xfId="0" applyNumberFormat="1" applyFont="1" applyAlignment="1">
      <alignment horizontal="center"/>
    </xf>
    <xf numFmtId="3" fontId="14" fillId="0" borderId="14" xfId="0" applyNumberFormat="1" applyFont="1" applyBorder="1" applyAlignment="1">
      <alignment vertical="center"/>
    </xf>
    <xf numFmtId="3" fontId="14" fillId="0" borderId="65" xfId="0" applyNumberFormat="1" applyFont="1" applyBorder="1" applyAlignment="1">
      <alignment vertical="center"/>
    </xf>
    <xf numFmtId="165" fontId="22" fillId="0" borderId="0" xfId="1" applyNumberFormat="1" applyFont="1"/>
    <xf numFmtId="49" fontId="2" fillId="15" borderId="1" xfId="0" applyNumberFormat="1" applyFont="1" applyFill="1" applyBorder="1" applyAlignment="1">
      <alignment horizontal="center"/>
    </xf>
    <xf numFmtId="49" fontId="2" fillId="15" borderId="1" xfId="0" applyNumberFormat="1" applyFont="1" applyFill="1" applyBorder="1" applyAlignment="1">
      <alignment horizontal="left"/>
    </xf>
    <xf numFmtId="3" fontId="2" fillId="15" borderId="1" xfId="0" applyNumberFormat="1" applyFont="1" applyFill="1" applyBorder="1" applyAlignment="1">
      <alignment horizontal="right"/>
    </xf>
    <xf numFmtId="4" fontId="8" fillId="15" borderId="1" xfId="0" applyNumberFormat="1" applyFont="1" applyFill="1" applyBorder="1" applyAlignment="1">
      <alignment horizontal="right"/>
    </xf>
    <xf numFmtId="3" fontId="2" fillId="15" borderId="2" xfId="0" applyNumberFormat="1" applyFont="1" applyFill="1" applyBorder="1" applyAlignment="1">
      <alignment horizontal="right"/>
    </xf>
    <xf numFmtId="3" fontId="2" fillId="15" borderId="0" xfId="0" applyNumberFormat="1" applyFont="1" applyFill="1" applyAlignment="1">
      <alignment horizontal="right"/>
    </xf>
    <xf numFmtId="4" fontId="2" fillId="15" borderId="0" xfId="0" applyNumberFormat="1" applyFont="1" applyFill="1" applyAlignment="1">
      <alignment horizontal="right"/>
    </xf>
    <xf numFmtId="3" fontId="13" fillId="15" borderId="0" xfId="0" applyNumberFormat="1" applyFont="1" applyFill="1"/>
    <xf numFmtId="3" fontId="0" fillId="15" borderId="0" xfId="0" applyNumberFormat="1" applyFill="1"/>
    <xf numFmtId="3" fontId="22" fillId="15" borderId="0" xfId="0" applyNumberFormat="1" applyFont="1" applyFill="1"/>
    <xf numFmtId="0" fontId="32" fillId="15" borderId="0" xfId="0" applyFont="1" applyFill="1"/>
    <xf numFmtId="49" fontId="2" fillId="19" borderId="0" xfId="0" applyNumberFormat="1" applyFont="1" applyFill="1" applyAlignment="1">
      <alignment horizontal="center"/>
    </xf>
    <xf numFmtId="49" fontId="2" fillId="19" borderId="1" xfId="0" applyNumberFormat="1" applyFont="1" applyFill="1" applyBorder="1" applyAlignment="1">
      <alignment horizontal="center"/>
    </xf>
    <xf numFmtId="49" fontId="2" fillId="19" borderId="1" xfId="0" applyNumberFormat="1" applyFont="1" applyFill="1" applyBorder="1" applyAlignment="1">
      <alignment horizontal="left"/>
    </xf>
    <xf numFmtId="3" fontId="2" fillId="19" borderId="0" xfId="0" applyNumberFormat="1" applyFont="1" applyFill="1" applyAlignment="1">
      <alignment horizontal="right"/>
    </xf>
    <xf numFmtId="4" fontId="8" fillId="19" borderId="0" xfId="0" applyNumberFormat="1" applyFont="1" applyFill="1" applyAlignment="1">
      <alignment horizontal="right"/>
    </xf>
    <xf numFmtId="4" fontId="2" fillId="19" borderId="0" xfId="0" applyNumberFormat="1" applyFont="1" applyFill="1" applyAlignment="1">
      <alignment horizontal="right"/>
    </xf>
    <xf numFmtId="0" fontId="0" fillId="19" borderId="0" xfId="0" applyFill="1"/>
    <xf numFmtId="3" fontId="13" fillId="19" borderId="0" xfId="0" applyNumberFormat="1" applyFont="1" applyFill="1"/>
    <xf numFmtId="49" fontId="2" fillId="19" borderId="1" xfId="0" applyNumberFormat="1" applyFont="1" applyFill="1" applyBorder="1" applyAlignment="1">
      <alignment horizontal="left" vertical="top"/>
    </xf>
    <xf numFmtId="3" fontId="22" fillId="19" borderId="0" xfId="0" applyNumberFormat="1" applyFont="1" applyFill="1"/>
    <xf numFmtId="3" fontId="0" fillId="19" borderId="0" xfId="0" applyNumberFormat="1" applyFill="1"/>
    <xf numFmtId="165" fontId="7" fillId="19" borderId="0" xfId="1" applyNumberFormat="1" applyFont="1" applyFill="1"/>
    <xf numFmtId="0" fontId="32" fillId="19" borderId="0" xfId="0" applyFont="1" applyFill="1"/>
    <xf numFmtId="3" fontId="1" fillId="8" borderId="7" xfId="0" applyNumberFormat="1" applyFont="1" applyFill="1" applyBorder="1" applyAlignment="1">
      <alignment horizontal="right"/>
    </xf>
    <xf numFmtId="165" fontId="22" fillId="0" borderId="0" xfId="1" applyNumberFormat="1" applyFont="1" applyFill="1"/>
    <xf numFmtId="0" fontId="15" fillId="0" borderId="14" xfId="0" applyFont="1" applyBorder="1"/>
    <xf numFmtId="0" fontId="15" fillId="0" borderId="57" xfId="0" applyFont="1" applyBorder="1" applyAlignment="1">
      <alignment vertical="center"/>
    </xf>
    <xf numFmtId="0" fontId="35" fillId="0" borderId="0" xfId="0" applyFont="1" applyAlignment="1">
      <alignment horizontal="center"/>
    </xf>
    <xf numFmtId="0" fontId="36" fillId="0" borderId="0" xfId="0" applyFont="1"/>
    <xf numFmtId="3" fontId="35" fillId="0" borderId="9" xfId="0" applyNumberFormat="1" applyFont="1" applyBorder="1" applyAlignment="1">
      <alignment horizontal="center" wrapText="1"/>
    </xf>
    <xf numFmtId="0" fontId="36" fillId="0" borderId="9" xfId="0" applyFont="1" applyBorder="1"/>
    <xf numFmtId="165" fontId="36" fillId="0" borderId="0" xfId="1" applyNumberFormat="1" applyFont="1"/>
    <xf numFmtId="165" fontId="36" fillId="0" borderId="6" xfId="1" applyNumberFormat="1" applyFont="1" applyBorder="1"/>
    <xf numFmtId="165" fontId="36" fillId="0" borderId="43" xfId="1" applyNumberFormat="1" applyFont="1" applyBorder="1"/>
    <xf numFmtId="3" fontId="36" fillId="0" borderId="0" xfId="0" applyNumberFormat="1" applyFont="1"/>
    <xf numFmtId="3" fontId="35" fillId="0" borderId="9" xfId="0" applyNumberFormat="1" applyFont="1" applyBorder="1"/>
    <xf numFmtId="165" fontId="36" fillId="0" borderId="9" xfId="1" applyNumberFormat="1" applyFont="1" applyBorder="1"/>
    <xf numFmtId="3" fontId="35" fillId="0" borderId="0" xfId="0" applyNumberFormat="1" applyFont="1"/>
    <xf numFmtId="0" fontId="35" fillId="0" borderId="0" xfId="0" applyFont="1"/>
    <xf numFmtId="3" fontId="35" fillId="0" borderId="0" xfId="0" applyNumberFormat="1" applyFont="1" applyAlignment="1">
      <alignment horizontal="center" wrapText="1"/>
    </xf>
    <xf numFmtId="165" fontId="36" fillId="0" borderId="0" xfId="1" applyNumberFormat="1" applyFont="1" applyFill="1" applyBorder="1"/>
    <xf numFmtId="1" fontId="20" fillId="0" borderId="0" xfId="0" applyNumberFormat="1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0" fillId="20" borderId="0" xfId="0" applyNumberFormat="1" applyFill="1"/>
    <xf numFmtId="3" fontId="14" fillId="0" borderId="31" xfId="0" applyNumberFormat="1" applyFont="1" applyBorder="1" applyAlignment="1">
      <alignment vertical="center"/>
    </xf>
    <xf numFmtId="3" fontId="15" fillId="0" borderId="0" xfId="0" applyNumberFormat="1" applyFont="1"/>
    <xf numFmtId="4" fontId="0" fillId="19" borderId="0" xfId="0" applyNumberFormat="1" applyFill="1"/>
    <xf numFmtId="4" fontId="13" fillId="3" borderId="11" xfId="0" applyNumberFormat="1" applyFont="1" applyFill="1" applyBorder="1"/>
    <xf numFmtId="4" fontId="0" fillId="0" borderId="0" xfId="0" applyNumberFormat="1" applyAlignment="1">
      <alignment wrapText="1"/>
    </xf>
    <xf numFmtId="4" fontId="1" fillId="8" borderId="11" xfId="0" applyNumberFormat="1" applyFont="1" applyFill="1" applyBorder="1" applyAlignment="1">
      <alignment horizontal="right"/>
    </xf>
    <xf numFmtId="4" fontId="1" fillId="9" borderId="11" xfId="0" applyNumberFormat="1" applyFont="1" applyFill="1" applyBorder="1" applyAlignment="1">
      <alignment horizontal="right"/>
    </xf>
    <xf numFmtId="4" fontId="1" fillId="7" borderId="11" xfId="0" applyNumberFormat="1" applyFont="1" applyFill="1" applyBorder="1" applyAlignment="1">
      <alignment horizontal="right"/>
    </xf>
    <xf numFmtId="4" fontId="1" fillId="8" borderId="7" xfId="0" applyNumberFormat="1" applyFont="1" applyFill="1" applyBorder="1" applyAlignment="1">
      <alignment horizontal="right"/>
    </xf>
    <xf numFmtId="4" fontId="1" fillId="17" borderId="56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7" borderId="13" xfId="0" applyNumberFormat="1" applyFont="1" applyFill="1" applyBorder="1" applyAlignment="1">
      <alignment horizontal="right"/>
    </xf>
    <xf numFmtId="4" fontId="0" fillId="15" borderId="0" xfId="0" applyNumberFormat="1" applyFill="1"/>
    <xf numFmtId="4" fontId="13" fillId="8" borderId="11" xfId="0" applyNumberFormat="1" applyFont="1" applyFill="1" applyBorder="1"/>
    <xf numFmtId="4" fontId="13" fillId="8" borderId="13" xfId="0" applyNumberFormat="1" applyFont="1" applyFill="1" applyBorder="1"/>
    <xf numFmtId="4" fontId="13" fillId="0" borderId="0" xfId="0" applyNumberFormat="1" applyFont="1"/>
    <xf numFmtId="4" fontId="13" fillId="7" borderId="11" xfId="0" applyNumberFormat="1" applyFont="1" applyFill="1" applyBorder="1"/>
    <xf numFmtId="4" fontId="13" fillId="12" borderId="0" xfId="0" applyNumberFormat="1" applyFont="1" applyFill="1"/>
    <xf numFmtId="4" fontId="21" fillId="5" borderId="0" xfId="0" applyNumberFormat="1" applyFont="1" applyFill="1"/>
    <xf numFmtId="166" fontId="0" fillId="0" borderId="0" xfId="0" applyNumberFormat="1"/>
    <xf numFmtId="165" fontId="7" fillId="0" borderId="0" xfId="1" applyNumberFormat="1" applyFont="1" applyFill="1"/>
    <xf numFmtId="4" fontId="20" fillId="0" borderId="0" xfId="0" applyNumberFormat="1" applyFont="1" applyAlignment="1">
      <alignment horizontal="center"/>
    </xf>
    <xf numFmtId="4" fontId="0" fillId="16" borderId="0" xfId="0" applyNumberFormat="1" applyFill="1"/>
    <xf numFmtId="4" fontId="13" fillId="11" borderId="0" xfId="0" applyNumberFormat="1" applyFont="1" applyFill="1" applyAlignment="1">
      <alignment horizontal="center" wrapText="1"/>
    </xf>
    <xf numFmtId="3" fontId="0" fillId="11" borderId="66" xfId="0" applyNumberFormat="1" applyFill="1" applyBorder="1"/>
    <xf numFmtId="0" fontId="15" fillId="0" borderId="14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44" fontId="38" fillId="0" borderId="0" xfId="5" applyFont="1" applyAlignment="1">
      <alignment horizontal="center"/>
    </xf>
    <xf numFmtId="0" fontId="38" fillId="0" borderId="0" xfId="0" applyFont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15" fillId="0" borderId="14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44" fontId="33" fillId="0" borderId="0" xfId="5" applyFont="1" applyAlignment="1">
      <alignment horizontal="center"/>
    </xf>
    <xf numFmtId="0" fontId="15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0" fillId="0" borderId="0" xfId="0"/>
    <xf numFmtId="49" fontId="2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3" fontId="13" fillId="0" borderId="34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3" fontId="13" fillId="0" borderId="36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38" xfId="0" applyNumberFormat="1" applyFont="1" applyBorder="1" applyAlignment="1">
      <alignment horizontal="center" vertical="center"/>
    </xf>
    <xf numFmtId="3" fontId="13" fillId="0" borderId="39" xfId="0" applyNumberFormat="1" applyFont="1" applyBorder="1" applyAlignment="1">
      <alignment horizontal="center" vertical="center"/>
    </xf>
    <xf numFmtId="3" fontId="13" fillId="0" borderId="4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12" fillId="6" borderId="0" xfId="0" applyFont="1" applyFill="1" applyAlignment="1">
      <alignment horizontal="center" textRotation="90"/>
    </xf>
    <xf numFmtId="0" fontId="30" fillId="14" borderId="41" xfId="0" applyFont="1" applyFill="1" applyBorder="1" applyAlignment="1">
      <alignment horizontal="left" vertical="center" wrapText="1"/>
    </xf>
    <xf numFmtId="0" fontId="30" fillId="8" borderId="64" xfId="6" applyFont="1" applyFill="1" applyBorder="1" applyAlignment="1">
      <alignment horizontal="left" vertical="center" wrapText="1"/>
    </xf>
    <xf numFmtId="0" fontId="34" fillId="18" borderId="41" xfId="6" applyFont="1" applyFill="1" applyBorder="1" applyAlignment="1">
      <alignment horizontal="left" vertical="center" wrapText="1"/>
    </xf>
  </cellXfs>
  <cellStyles count="11">
    <cellStyle name="Čárka" xfId="3" builtinId="3"/>
    <cellStyle name="Měna" xfId="5" builtinId="4"/>
    <cellStyle name="Normální" xfId="0" builtinId="0"/>
    <cellStyle name="normální 2" xfId="2" xr:uid="{00000000-0005-0000-0000-000003000000}"/>
    <cellStyle name="normální 3" xfId="4" xr:uid="{00000000-0005-0000-0000-000004000000}"/>
    <cellStyle name="Normální 4" xfId="6" xr:uid="{C29D1D26-F106-401C-865E-14F8197DBBD6}"/>
    <cellStyle name="Normální 5" xfId="7" xr:uid="{09559CA3-8264-4D14-93E8-D3E826D3F086}"/>
    <cellStyle name="Normální 6" xfId="8" xr:uid="{E6A44083-9365-4DCB-9B91-462DA62B99C4}"/>
    <cellStyle name="Normální 7" xfId="9" xr:uid="{9A3B6811-E94C-4270-9CFA-B5EC875AF878}"/>
    <cellStyle name="Normální 8" xfId="10" xr:uid="{58F5A934-ACEB-49B4-9BB3-5D71A88ADF4C}"/>
    <cellStyle name="Procenta" xfId="1" builtinId="5"/>
  </cellStyles>
  <dxfs count="0"/>
  <tableStyles count="0" defaultTableStyle="TableStyleMedium9" defaultPivotStyle="PivotStyleLight16"/>
  <colors>
    <mruColors>
      <color rgb="FFFFFF99"/>
      <color rgb="FFFFFFCC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microsoft.com/office/2017/10/relationships/person" Target="persons/perso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_OBEC/PROJEKTY/D&#283;tsk&#225;%20skupina/Provoz%20DS/Cashflow_DS_2026_Obec%20Ondratice.xlsx" TargetMode="External"/><Relationship Id="rId2" Type="http://schemas.openxmlformats.org/officeDocument/2006/relationships/externalLinkPath" Target="file:///C:\Dokumenty\0_OBEC\PROJEKTY\D&#283;tsk&#225;%20skupina\Provoz%20DS\Cashflow_DS_2026_Obec%20Ondratice.xlsx" TargetMode="External"/><Relationship Id="rId1" Type="http://schemas.openxmlformats.org/officeDocument/2006/relationships/externalLinkPath" Target="/Dokumenty/0_OBEC/PROJEKTY/D&#283;tsk&#225;%20skupina/Provoz%20DS/Cashflow_DS_2026_Obec%20Ondrati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Obec/AppData/Roaming/Microsoft/Excel/Programov&#233;%20prioriy%202020.xlsx" TargetMode="External"/><Relationship Id="rId1" Type="http://schemas.openxmlformats.org/officeDocument/2006/relationships/externalLinkPath" Target="/Users/Obec/AppData/Roaming/Microsoft/Excel/Programov&#233;%20prioriy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ERSONAL/Mzdy_souhrn.xlsx" TargetMode="External"/><Relationship Id="rId2" Type="http://schemas.openxmlformats.org/officeDocument/2006/relationships/externalLinkPath" Target="file:///C:\Dokumenty\PERSONAL\Mzdy_souhrn.xlsx" TargetMode="External"/><Relationship Id="rId1" Type="http://schemas.openxmlformats.org/officeDocument/2006/relationships/externalLinkPath" Target="/Dokumenty/PERSONAL/Mzdy_souhrn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Zastupitelstvo/Podklady%2020211112/Programov&#233;%20priority%202021.xlsx" TargetMode="External"/><Relationship Id="rId1" Type="http://schemas.openxmlformats.org/officeDocument/2006/relationships/externalLinkPath" Target="/Dokumenty/Zastupitelstvo/Podklady%2020211112/Programov&#233;%20priorit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DEL 2027"/>
      <sheetName val="MODEL 2026"/>
      <sheetName val="Financování poskytování služby "/>
    </sheetNames>
    <sheetDataSet>
      <sheetData sheetId="0" refreshError="1"/>
      <sheetData sheetId="1">
        <row r="3">
          <cell r="O3">
            <v>452633.59999999998</v>
          </cell>
        </row>
        <row r="4">
          <cell r="D4">
            <v>45000</v>
          </cell>
        </row>
        <row r="5">
          <cell r="D5">
            <v>33000</v>
          </cell>
        </row>
        <row r="6">
          <cell r="D6">
            <v>33000</v>
          </cell>
        </row>
        <row r="7">
          <cell r="D7">
            <v>5000</v>
          </cell>
        </row>
        <row r="8">
          <cell r="D8">
            <v>5000</v>
          </cell>
        </row>
        <row r="10">
          <cell r="D10">
            <v>5000</v>
          </cell>
        </row>
        <row r="11">
          <cell r="O11">
            <v>374400</v>
          </cell>
        </row>
        <row r="13">
          <cell r="G13">
            <v>93700</v>
          </cell>
        </row>
        <row r="14">
          <cell r="E14">
            <v>3000</v>
          </cell>
        </row>
        <row r="16">
          <cell r="G16">
            <v>18000</v>
          </cell>
        </row>
        <row r="17">
          <cell r="E17">
            <v>2000</v>
          </cell>
        </row>
        <row r="18">
          <cell r="E18">
            <v>1500</v>
          </cell>
        </row>
        <row r="20">
          <cell r="G20">
            <v>20000</v>
          </cell>
        </row>
        <row r="22">
          <cell r="G22">
            <v>11100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0"/>
      <sheetName val="2019"/>
      <sheetName val="2019_ke_zveřejnění"/>
      <sheetName val="2019_ke zveřejnění"/>
    </sheetNames>
    <sheetDataSet>
      <sheetData sheetId="0">
        <row r="13">
          <cell r="Q13">
            <v>200000</v>
          </cell>
        </row>
        <row r="14">
          <cell r="Q14">
            <v>300000</v>
          </cell>
        </row>
        <row r="20">
          <cell r="Q20">
            <v>10000</v>
          </cell>
        </row>
        <row r="23">
          <cell r="Q23">
            <v>300000</v>
          </cell>
        </row>
        <row r="38">
          <cell r="Q38">
            <v>300000</v>
          </cell>
        </row>
        <row r="41">
          <cell r="Q41">
            <v>10000</v>
          </cell>
        </row>
        <row r="42">
          <cell r="Q42">
            <v>20000</v>
          </cell>
        </row>
        <row r="51">
          <cell r="Q51">
            <v>100000</v>
          </cell>
        </row>
        <row r="56">
          <cell r="Q56">
            <v>10000</v>
          </cell>
        </row>
        <row r="60">
          <cell r="Q60">
            <v>100000</v>
          </cell>
        </row>
        <row r="61">
          <cell r="Q61">
            <v>20000</v>
          </cell>
        </row>
        <row r="65">
          <cell r="Q65">
            <v>30000</v>
          </cell>
        </row>
        <row r="69">
          <cell r="Q69">
            <v>20000</v>
          </cell>
        </row>
        <row r="70">
          <cell r="Q70">
            <v>2000</v>
          </cell>
        </row>
      </sheetData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4"/>
      <sheetName val="2020_upr"/>
      <sheetName val="2020"/>
      <sheetName val="2019"/>
      <sheetName val="List2"/>
      <sheetName val="List3"/>
    </sheetNames>
    <sheetDataSet>
      <sheetData sheetId="0"/>
      <sheetData sheetId="1">
        <row r="15">
          <cell r="E15">
            <v>81724.906400000007</v>
          </cell>
        </row>
      </sheetData>
      <sheetData sheetId="2">
        <row r="15">
          <cell r="C15">
            <v>59500</v>
          </cell>
          <cell r="D15">
            <v>63665.000000000007</v>
          </cell>
        </row>
        <row r="20">
          <cell r="C20">
            <v>2000</v>
          </cell>
        </row>
        <row r="21">
          <cell r="D21">
            <v>16103.500000000002</v>
          </cell>
        </row>
        <row r="27">
          <cell r="D27">
            <v>629.16000000000008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0"/>
      <sheetName val="2019"/>
      <sheetName val="2019_ke zveřejnění"/>
    </sheetNames>
    <sheetDataSet>
      <sheetData sheetId="0">
        <row r="60">
          <cell r="AM60">
            <v>24000</v>
          </cell>
        </row>
        <row r="64">
          <cell r="AM64">
            <v>47500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tarosta" id="{B9EF3AFD-A617-42D5-A406-261BBC0FF9A5}" userId="S::starosta@ondratice.onmicrosoft.com::2c3a050f-18e0-4d29-a685-5fcee0e84fc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A29" dT="2023-04-19T08:39:30.20" personId="{B9EF3AFD-A617-42D5-A406-261BBC0FF9A5}" id="{DAC59FBD-B748-4675-AB1D-1D5FF2885DA8}">
    <text>Dotace z MMR - dětské hřiště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K114" dT="2023-04-19T11:29:31.44" personId="{B9EF3AFD-A617-42D5-A406-261BBC0FF9A5}" id="{BC6A9948-9CA0-4F4F-BBB7-163E0CC5C10F}">
    <text xml:space="preserve">Pořízení nového hřiště HRAS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4.bin"/><Relationship Id="rId4" Type="http://schemas.microsoft.com/office/2017/10/relationships/threadedComment" Target="../threadedComments/threadedComment1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5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5"/>
  <sheetViews>
    <sheetView workbookViewId="0"/>
  </sheetViews>
  <sheetFormatPr defaultColWidth="9.140625" defaultRowHeight="15"/>
  <cols>
    <col min="1" max="1" width="29.7109375" style="105" customWidth="1"/>
    <col min="2" max="2" width="8.85546875" style="105" customWidth="1"/>
    <col min="3" max="3" width="14.85546875" style="105" customWidth="1"/>
    <col min="4" max="4" width="13.7109375" style="105" customWidth="1"/>
    <col min="5" max="5" width="14.7109375" style="105" customWidth="1"/>
    <col min="6" max="6" width="15.42578125" style="106" customWidth="1"/>
    <col min="7" max="7" width="1.7109375" style="105" customWidth="1"/>
    <col min="8" max="8" width="11" style="105" customWidth="1"/>
    <col min="9" max="9" width="12" style="105" customWidth="1"/>
    <col min="10" max="10" width="1.5703125" style="105" customWidth="1"/>
    <col min="11" max="11" width="10.7109375" style="105" customWidth="1"/>
    <col min="12" max="12" width="12.140625" style="105" customWidth="1"/>
    <col min="13" max="13" width="1.28515625" style="105" customWidth="1"/>
    <col min="14" max="14" width="11" style="105" customWidth="1"/>
    <col min="15" max="15" width="11.85546875" style="105" customWidth="1"/>
    <col min="16" max="16" width="1.140625" style="105" customWidth="1"/>
    <col min="17" max="17" width="11.42578125" style="105" bestFit="1" customWidth="1"/>
    <col min="18" max="18" width="13.7109375" style="105" customWidth="1"/>
    <col min="19" max="16384" width="9.140625" style="105"/>
  </cols>
  <sheetData>
    <row r="2" spans="1:18" ht="23.25">
      <c r="A2" s="460" t="s">
        <v>464</v>
      </c>
      <c r="B2" s="460"/>
      <c r="C2" s="460"/>
      <c r="D2" s="460"/>
      <c r="E2" s="460"/>
      <c r="F2" s="460"/>
    </row>
    <row r="3" spans="1:18" s="104" customFormat="1" ht="33" customHeight="1">
      <c r="F3" s="226"/>
      <c r="H3" s="461" t="s">
        <v>469</v>
      </c>
      <c r="I3" s="461"/>
      <c r="K3" s="461" t="s">
        <v>478</v>
      </c>
      <c r="L3" s="461"/>
      <c r="N3" s="461" t="s">
        <v>482</v>
      </c>
      <c r="O3" s="461"/>
      <c r="Q3" s="461" t="s">
        <v>489</v>
      </c>
      <c r="R3" s="461"/>
    </row>
    <row r="4" spans="1:18" ht="47.25">
      <c r="A4" s="111" t="s">
        <v>263</v>
      </c>
      <c r="B4" s="111" t="s">
        <v>5</v>
      </c>
      <c r="C4" s="112" t="s">
        <v>449</v>
      </c>
      <c r="D4" s="112" t="s">
        <v>451</v>
      </c>
      <c r="E4" s="112" t="s">
        <v>450</v>
      </c>
      <c r="F4" s="112" t="s">
        <v>471</v>
      </c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  <c r="Q4" s="222" t="s">
        <v>472</v>
      </c>
      <c r="R4" s="222" t="s">
        <v>473</v>
      </c>
    </row>
    <row r="5" spans="1:18">
      <c r="A5" s="105" t="s">
        <v>265</v>
      </c>
      <c r="B5" s="105" t="s">
        <v>266</v>
      </c>
      <c r="C5" s="106">
        <f>Rozpis_Příjmy!L22</f>
        <v>4972000</v>
      </c>
      <c r="D5" s="106">
        <f>Rozpis_Příjmy!AH22</f>
        <v>4661600</v>
      </c>
      <c r="E5" s="106">
        <f>Rozpis_Příjmy!AL22</f>
        <v>4655908.6900000004</v>
      </c>
      <c r="F5" s="106">
        <f>Rozpis_Příjmy!AN22</f>
        <v>4104000</v>
      </c>
      <c r="H5" s="106">
        <f>Rozpis_Příjmy!AZ22</f>
        <v>0</v>
      </c>
      <c r="I5" s="106">
        <f>Rozpis_Příjmy!BA22</f>
        <v>4104000</v>
      </c>
      <c r="K5" s="106">
        <f>Rozpis_Příjmy!BC22</f>
        <v>0</v>
      </c>
      <c r="L5" s="106">
        <f>Rozpis_Příjmy!BD22</f>
        <v>4104000</v>
      </c>
      <c r="N5" s="106">
        <f>Rozpis_Příjmy!BF22</f>
        <v>0</v>
      </c>
      <c r="O5" s="106">
        <f>Rozpis_Příjmy!BG22</f>
        <v>4104000</v>
      </c>
      <c r="Q5" s="106">
        <f>Rozpis_Příjmy!BI22</f>
        <v>792000</v>
      </c>
      <c r="R5" s="106">
        <f>Rozpis_Příjmy!BJ22</f>
        <v>4896000</v>
      </c>
    </row>
    <row r="6" spans="1:18">
      <c r="A6" s="105" t="s">
        <v>267</v>
      </c>
      <c r="B6" s="105" t="s">
        <v>268</v>
      </c>
      <c r="C6" s="106">
        <f>Rozpis_Příjmy!L122</f>
        <v>241200</v>
      </c>
      <c r="D6" s="106">
        <f>Rozpis_Příjmy!AH122</f>
        <v>240800</v>
      </c>
      <c r="E6" s="106">
        <f>Rozpis_Příjmy!AL122</f>
        <v>219140.41</v>
      </c>
      <c r="F6" s="106">
        <f>Rozpis_Příjmy!AN122</f>
        <v>203000</v>
      </c>
      <c r="H6" s="106">
        <f>Rozpis_Příjmy!AZ122</f>
        <v>0</v>
      </c>
      <c r="I6" s="106">
        <f>Rozpis_Příjmy!BA122</f>
        <v>203000</v>
      </c>
      <c r="K6" s="106">
        <f>Rozpis_Příjmy!BC122</f>
        <v>0</v>
      </c>
      <c r="L6" s="106">
        <f>Rozpis_Příjmy!BD122</f>
        <v>203000</v>
      </c>
      <c r="N6" s="106">
        <f>Rozpis_Příjmy!BF122</f>
        <v>0</v>
      </c>
      <c r="O6" s="106">
        <f>Rozpis_Příjmy!BG122</f>
        <v>203000</v>
      </c>
      <c r="Q6" s="106">
        <f>Rozpis_Příjmy!BI122</f>
        <v>87800</v>
      </c>
      <c r="R6" s="106">
        <f>Rozpis_Příjmy!BJ122</f>
        <v>290800</v>
      </c>
    </row>
    <row r="7" spans="1:18">
      <c r="A7" s="105" t="s">
        <v>269</v>
      </c>
      <c r="B7" s="105" t="s">
        <v>270</v>
      </c>
      <c r="C7" s="106">
        <f>Rozpis_Příjmy!L99</f>
        <v>1000</v>
      </c>
      <c r="D7" s="106">
        <f>Rozpis_Příjmy!AH99</f>
        <v>28590</v>
      </c>
      <c r="E7" s="106">
        <f>Rozpis_Příjmy!AL99</f>
        <v>28557</v>
      </c>
      <c r="F7" s="106">
        <f>Rozpis_Příjmy!AN99</f>
        <v>1000</v>
      </c>
      <c r="H7" s="106">
        <f>Rozpis_Příjmy!AZ99</f>
        <v>0</v>
      </c>
      <c r="I7" s="106">
        <f>Rozpis_Příjmy!BA99</f>
        <v>1000</v>
      </c>
      <c r="K7" s="106">
        <f>Rozpis_Příjmy!BC99</f>
        <v>0</v>
      </c>
      <c r="L7" s="106">
        <f>Rozpis_Příjmy!BD99</f>
        <v>1000</v>
      </c>
      <c r="N7" s="106">
        <f>Rozpis_Příjmy!BF99</f>
        <v>0</v>
      </c>
      <c r="O7" s="106">
        <f>Rozpis_Příjmy!BG99</f>
        <v>1000</v>
      </c>
      <c r="Q7" s="106">
        <f>Rozpis_Příjmy!BI99</f>
        <v>149000</v>
      </c>
      <c r="R7" s="106">
        <f>Rozpis_Příjmy!BJ99</f>
        <v>150000</v>
      </c>
    </row>
    <row r="8" spans="1:18">
      <c r="A8" s="105" t="s">
        <v>271</v>
      </c>
      <c r="B8" s="105" t="s">
        <v>272</v>
      </c>
      <c r="C8" s="106">
        <f>Rozpis_Příjmy!L35</f>
        <v>76800</v>
      </c>
      <c r="D8" s="106">
        <f>Rozpis_Příjmy!AH35</f>
        <v>1304250</v>
      </c>
      <c r="E8" s="106">
        <f>Rozpis_Příjmy!AL35</f>
        <v>1296911</v>
      </c>
      <c r="F8" s="106">
        <f>Rozpis_Příjmy!AN35</f>
        <v>84000</v>
      </c>
      <c r="H8" s="106">
        <f>Rozpis_Příjmy!AZ35</f>
        <v>211541.07</v>
      </c>
      <c r="I8" s="106">
        <f>Rozpis_Příjmy!BA35</f>
        <v>295541.07</v>
      </c>
      <c r="K8" s="106">
        <f>Rozpis_Příjmy!BC35</f>
        <v>0</v>
      </c>
      <c r="L8" s="106">
        <f>Rozpis_Příjmy!BD35</f>
        <v>295541.07</v>
      </c>
      <c r="N8" s="106">
        <f>Rozpis_Příjmy!BF35</f>
        <v>49297.26</v>
      </c>
      <c r="O8" s="106">
        <f>Rozpis_Příjmy!BG35</f>
        <v>344838.33</v>
      </c>
      <c r="Q8" s="106">
        <f>Rozpis_Příjmy!BI35</f>
        <v>63687.91</v>
      </c>
      <c r="R8" s="106">
        <f>Rozpis_Příjmy!BJ35</f>
        <v>408526.24</v>
      </c>
    </row>
    <row r="9" spans="1:18" s="117" customFormat="1" ht="16.5" thickBot="1">
      <c r="A9" s="115" t="s">
        <v>261</v>
      </c>
      <c r="B9" s="115"/>
      <c r="C9" s="116">
        <f>SUM(C5:C8)</f>
        <v>5291000</v>
      </c>
      <c r="D9" s="116">
        <f>SUM(D5:D8)</f>
        <v>6235240</v>
      </c>
      <c r="E9" s="116">
        <f>SUM(E5:E8)</f>
        <v>6200517.1000000006</v>
      </c>
      <c r="F9" s="116">
        <f>SUM(F5:F8)</f>
        <v>4392000</v>
      </c>
      <c r="H9" s="116">
        <f>SUM(H5:H8)</f>
        <v>211541.07</v>
      </c>
      <c r="I9" s="116">
        <f>SUM(I5:I8)</f>
        <v>4603541.07</v>
      </c>
      <c r="K9" s="116">
        <f>SUM(K5:K8)</f>
        <v>0</v>
      </c>
      <c r="L9" s="116">
        <f>SUM(L5:L8)</f>
        <v>4603541.07</v>
      </c>
      <c r="N9" s="116">
        <f>SUM(N5:N8)</f>
        <v>49297.26</v>
      </c>
      <c r="O9" s="116">
        <f>SUM(O5:O8)</f>
        <v>4652838.33</v>
      </c>
      <c r="Q9" s="116">
        <f>SUM(Q5:Q8)</f>
        <v>1092487.9099999999</v>
      </c>
      <c r="R9" s="116">
        <f>SUM(R5:R8)</f>
        <v>5745326.2400000002</v>
      </c>
    </row>
    <row r="11" spans="1:18" ht="15.75">
      <c r="A11" s="111" t="s">
        <v>273</v>
      </c>
      <c r="B11" s="111" t="s">
        <v>5</v>
      </c>
      <c r="C11" s="111"/>
      <c r="D11" s="111"/>
      <c r="E11" s="111"/>
      <c r="F11" s="114"/>
      <c r="H11" s="221"/>
      <c r="I11" s="221"/>
      <c r="K11" s="221"/>
      <c r="L11" s="221"/>
      <c r="N11" s="221"/>
      <c r="O11" s="221"/>
      <c r="Q11" s="221"/>
      <c r="R11" s="221"/>
    </row>
    <row r="12" spans="1:18">
      <c r="A12" s="105" t="s">
        <v>274</v>
      </c>
      <c r="B12" s="105" t="s">
        <v>275</v>
      </c>
      <c r="C12" s="106">
        <f>Rozpis_Výdaje!L350</f>
        <v>4309999.92</v>
      </c>
      <c r="D12" s="106">
        <f>Rozpis_Výdaje!AE350</f>
        <v>4954150</v>
      </c>
      <c r="E12" s="106">
        <f>Rozpis_Výdaje!AH350</f>
        <v>4665142.3800000008</v>
      </c>
      <c r="F12" s="106">
        <f>Rozpis_Výdaje!AK350</f>
        <v>4265000</v>
      </c>
      <c r="H12" s="106">
        <f>Rozpis_Výdaje!AR350</f>
        <v>100000</v>
      </c>
      <c r="I12" s="106">
        <f>Rozpis_Výdaje!AS350</f>
        <v>4365000</v>
      </c>
      <c r="K12" s="106">
        <f>Rozpis_Výdaje!AU350</f>
        <v>150300</v>
      </c>
      <c r="L12" s="106">
        <f>Rozpis_Výdaje!AV350</f>
        <v>4515300</v>
      </c>
      <c r="N12" s="106">
        <f>Rozpis_Výdaje!AX350</f>
        <v>49297.26</v>
      </c>
      <c r="O12" s="106">
        <f>Rozpis_Výdaje!AY350</f>
        <v>4564597.26</v>
      </c>
      <c r="Q12" s="106">
        <f>Rozpis_Výdaje!BD350</f>
        <v>845803</v>
      </c>
      <c r="R12" s="106">
        <f>Rozpis_Výdaje!BE350</f>
        <v>5410400.2599999998</v>
      </c>
    </row>
    <row r="13" spans="1:18">
      <c r="A13" s="225" t="s">
        <v>458</v>
      </c>
      <c r="B13" s="105">
        <v>5171</v>
      </c>
      <c r="C13" s="106">
        <f>Rozpis_Výdaje!L351</f>
        <v>446000</v>
      </c>
      <c r="D13" s="106">
        <f>Rozpis_Výdaje!AE351</f>
        <v>935250</v>
      </c>
      <c r="E13" s="106">
        <f>Rozpis_Výdaje!AH351</f>
        <v>897748.58000000007</v>
      </c>
      <c r="F13" s="106">
        <f>Rozpis_Výdaje!AK351</f>
        <v>400000</v>
      </c>
      <c r="H13" s="106">
        <f>Rozpis_Výdaje!AR351</f>
        <v>0</v>
      </c>
      <c r="I13" s="106">
        <f>Rozpis_Výdaje!AS351</f>
        <v>400000</v>
      </c>
      <c r="K13" s="106">
        <f>Rozpis_Výdaje!AU351</f>
        <v>0</v>
      </c>
      <c r="L13" s="106">
        <f>Rozpis_Výdaje!AV351</f>
        <v>400000</v>
      </c>
      <c r="N13" s="106">
        <f>Rozpis_Výdaje!AX351</f>
        <v>49297.26</v>
      </c>
      <c r="O13" s="106">
        <f>Rozpis_Výdaje!AY351</f>
        <v>449297.26</v>
      </c>
      <c r="Q13" s="106">
        <f>Rozpis_Výdaje!BD351</f>
        <v>491203</v>
      </c>
      <c r="R13" s="106">
        <f>Rozpis_Výdaje!BE351</f>
        <v>940500.26</v>
      </c>
    </row>
    <row r="14" spans="1:18">
      <c r="A14" s="105" t="s">
        <v>276</v>
      </c>
      <c r="B14" s="105" t="s">
        <v>277</v>
      </c>
      <c r="C14" s="106">
        <f>Rozpis_Výdaje!L353</f>
        <v>1760000</v>
      </c>
      <c r="D14" s="106">
        <f>Rozpis_Výdaje!AE353</f>
        <v>1365610</v>
      </c>
      <c r="E14" s="106">
        <f>Rozpis_Výdaje!AH353</f>
        <v>1363785.12</v>
      </c>
      <c r="F14" s="106">
        <f>Rozpis_Výdaje!AK353</f>
        <v>564000</v>
      </c>
      <c r="G14" s="105" t="s">
        <v>457</v>
      </c>
      <c r="H14" s="106">
        <f>Rozpis_Výdaje!AR353</f>
        <v>0</v>
      </c>
      <c r="I14" s="106">
        <f>Rozpis_Výdaje!AS353</f>
        <v>564000</v>
      </c>
      <c r="K14" s="106">
        <f>Rozpis_Výdaje!AU353</f>
        <v>0</v>
      </c>
      <c r="L14" s="106">
        <f>Rozpis_Výdaje!AV353</f>
        <v>564000</v>
      </c>
      <c r="N14" s="106">
        <f>Rozpis_Výdaje!AX353</f>
        <v>0</v>
      </c>
      <c r="O14" s="106">
        <f>Rozpis_Výdaje!AY353</f>
        <v>564000</v>
      </c>
      <c r="Q14" s="106">
        <f>Rozpis_Výdaje!BD353</f>
        <v>-416900</v>
      </c>
      <c r="R14" s="106">
        <f>Rozpis_Výdaje!BE353</f>
        <v>147100</v>
      </c>
    </row>
    <row r="15" spans="1:18" s="117" customFormat="1" ht="16.5" thickBot="1">
      <c r="A15" s="115" t="s">
        <v>262</v>
      </c>
      <c r="B15" s="115"/>
      <c r="C15" s="116">
        <f>C12+C14</f>
        <v>6069999.9199999999</v>
      </c>
      <c r="D15" s="116">
        <f>D12+D14</f>
        <v>6319760</v>
      </c>
      <c r="E15" s="116">
        <f>E12+E14</f>
        <v>6028927.5000000009</v>
      </c>
      <c r="F15" s="116">
        <f>F12+F14</f>
        <v>4829000</v>
      </c>
      <c r="H15" s="116">
        <f t="shared" ref="H15:I15" si="0">H12+H14</f>
        <v>100000</v>
      </c>
      <c r="I15" s="116">
        <f t="shared" si="0"/>
        <v>4929000</v>
      </c>
      <c r="K15" s="116">
        <f t="shared" ref="K15:L15" si="1">K12+K14</f>
        <v>150300</v>
      </c>
      <c r="L15" s="116">
        <f t="shared" si="1"/>
        <v>5079300</v>
      </c>
      <c r="N15" s="116">
        <f t="shared" ref="N15:O15" si="2">N12+N14</f>
        <v>49297.26</v>
      </c>
      <c r="O15" s="116">
        <f t="shared" si="2"/>
        <v>5128597.26</v>
      </c>
      <c r="Q15" s="116">
        <f>Q12+Q14</f>
        <v>428903</v>
      </c>
      <c r="R15" s="116">
        <f>R12+R14</f>
        <v>5557500.2599999998</v>
      </c>
    </row>
    <row r="17" spans="1:18" ht="15.75" thickBot="1">
      <c r="A17" s="107" t="s">
        <v>278</v>
      </c>
      <c r="B17" s="107"/>
      <c r="C17" s="108">
        <f>C9-C15</f>
        <v>-778999.91999999993</v>
      </c>
      <c r="D17" s="108">
        <f>D9-D15</f>
        <v>-84520</v>
      </c>
      <c r="E17" s="108">
        <f>E9-E15</f>
        <v>171589.59999999963</v>
      </c>
      <c r="F17" s="108">
        <f>F9-F15</f>
        <v>-437000</v>
      </c>
      <c r="H17" s="108">
        <f>H9-H15</f>
        <v>111541.07</v>
      </c>
      <c r="I17" s="108">
        <f t="shared" ref="I17" si="3">I9-I15</f>
        <v>-325458.9299999997</v>
      </c>
      <c r="K17" s="108">
        <f>K9-K15</f>
        <v>-150300</v>
      </c>
      <c r="L17" s="108">
        <f t="shared" ref="L17" si="4">L9-L15</f>
        <v>-475758.9299999997</v>
      </c>
      <c r="N17" s="108">
        <f>N9-N15</f>
        <v>0</v>
      </c>
      <c r="O17" s="108">
        <f t="shared" ref="O17" si="5">O9-O15</f>
        <v>-475758.9299999997</v>
      </c>
      <c r="Q17" s="108">
        <f>Q9-Q15</f>
        <v>663584.90999999992</v>
      </c>
      <c r="R17" s="108">
        <f>R9-R15</f>
        <v>187825.98000000045</v>
      </c>
    </row>
    <row r="19" spans="1:18" ht="15.75">
      <c r="A19" s="111" t="s">
        <v>279</v>
      </c>
      <c r="B19" s="111" t="s">
        <v>5</v>
      </c>
      <c r="C19" s="111"/>
      <c r="D19" s="111"/>
      <c r="E19" s="111"/>
      <c r="F19" s="114"/>
      <c r="H19" s="221"/>
      <c r="I19" s="221"/>
      <c r="K19" s="221"/>
      <c r="L19" s="221"/>
      <c r="N19" s="221"/>
      <c r="O19" s="221"/>
      <c r="Q19" s="221"/>
      <c r="R19" s="221"/>
    </row>
    <row r="20" spans="1:18">
      <c r="A20" s="105" t="s">
        <v>280</v>
      </c>
      <c r="B20" s="105">
        <v>8115</v>
      </c>
      <c r="C20" s="106">
        <v>779000</v>
      </c>
      <c r="D20" s="106">
        <v>84520</v>
      </c>
      <c r="E20" s="106">
        <v>0</v>
      </c>
      <c r="F20" s="106">
        <v>437000</v>
      </c>
      <c r="H20" s="106">
        <v>0</v>
      </c>
      <c r="I20" s="106">
        <f>F20+H21</f>
        <v>325459</v>
      </c>
      <c r="K20" s="106">
        <v>150300</v>
      </c>
      <c r="L20" s="106">
        <f>I20+K20</f>
        <v>475759</v>
      </c>
      <c r="N20" s="106">
        <v>0</v>
      </c>
      <c r="O20" s="106">
        <f>L20+N20</f>
        <v>475759</v>
      </c>
      <c r="Q20" s="106">
        <v>0</v>
      </c>
      <c r="R20" s="106">
        <v>0</v>
      </c>
    </row>
    <row r="21" spans="1:18">
      <c r="A21" s="105" t="s">
        <v>362</v>
      </c>
      <c r="B21" s="105">
        <v>8115</v>
      </c>
      <c r="C21" s="106">
        <v>0</v>
      </c>
      <c r="D21" s="106">
        <v>0</v>
      </c>
      <c r="E21" s="106">
        <f>-E17</f>
        <v>-171589.59999999963</v>
      </c>
      <c r="F21" s="106">
        <v>0</v>
      </c>
      <c r="H21" s="106">
        <v>-111541</v>
      </c>
      <c r="I21" s="106">
        <v>0</v>
      </c>
      <c r="K21" s="106">
        <v>0</v>
      </c>
      <c r="L21" s="106">
        <v>0</v>
      </c>
      <c r="N21" s="106">
        <v>0</v>
      </c>
      <c r="O21" s="106">
        <v>0</v>
      </c>
      <c r="Q21" s="106">
        <f>-Q17</f>
        <v>-663584.90999999992</v>
      </c>
      <c r="R21" s="106">
        <f>-R17</f>
        <v>-187825.98000000045</v>
      </c>
    </row>
    <row r="22" spans="1:18">
      <c r="A22" s="105" t="s">
        <v>358</v>
      </c>
      <c r="B22" s="105">
        <v>8123</v>
      </c>
      <c r="C22" s="106">
        <v>0</v>
      </c>
      <c r="D22" s="106">
        <v>0</v>
      </c>
      <c r="E22" s="106">
        <v>0</v>
      </c>
      <c r="F22" s="106">
        <v>0</v>
      </c>
      <c r="H22" s="106">
        <v>0</v>
      </c>
      <c r="I22" s="106">
        <v>0</v>
      </c>
      <c r="K22" s="106">
        <v>0</v>
      </c>
      <c r="L22" s="106">
        <v>0</v>
      </c>
      <c r="N22" s="106">
        <v>0</v>
      </c>
      <c r="O22" s="106">
        <v>0</v>
      </c>
      <c r="Q22" s="106">
        <v>0</v>
      </c>
      <c r="R22" s="106">
        <v>0</v>
      </c>
    </row>
    <row r="23" spans="1:18" s="117" customFormat="1" ht="17.25" customHeight="1" thickBot="1">
      <c r="A23" s="115" t="s">
        <v>359</v>
      </c>
      <c r="B23" s="115"/>
      <c r="C23" s="116">
        <f>SUM(C20:C22)</f>
        <v>779000</v>
      </c>
      <c r="D23" s="116">
        <f>SUM(D20:D22)</f>
        <v>84520</v>
      </c>
      <c r="E23" s="116">
        <f>SUM(E20:E22)</f>
        <v>-171589.59999999963</v>
      </c>
      <c r="F23" s="116">
        <f>SUM(F20:F22)</f>
        <v>437000</v>
      </c>
      <c r="H23" s="116">
        <f>SUM(H20:H22)</f>
        <v>-111541</v>
      </c>
      <c r="I23" s="116">
        <f>SUM(I20:I22)</f>
        <v>325459</v>
      </c>
      <c r="K23" s="116">
        <f>SUM(K20:K22)</f>
        <v>150300</v>
      </c>
      <c r="L23" s="116">
        <f>SUM(L20:L22)</f>
        <v>475759</v>
      </c>
      <c r="N23" s="116">
        <f>SUM(N20:N22)</f>
        <v>0</v>
      </c>
      <c r="O23" s="116">
        <f>SUM(O20:O22)</f>
        <v>475759</v>
      </c>
      <c r="Q23" s="116">
        <f>SUM(Q20:Q22)</f>
        <v>-663584.90999999992</v>
      </c>
      <c r="R23" s="116">
        <f>SUM(R20:R22)</f>
        <v>-187825.98000000045</v>
      </c>
    </row>
    <row r="24" spans="1:18">
      <c r="H24" s="106"/>
      <c r="I24" s="106"/>
      <c r="K24" s="106"/>
      <c r="L24" s="106"/>
      <c r="N24" s="106"/>
      <c r="O24" s="106"/>
      <c r="Q24" s="106"/>
      <c r="R24" s="106"/>
    </row>
    <row r="25" spans="1:18" ht="15.75" thickBot="1">
      <c r="A25" s="109" t="s">
        <v>360</v>
      </c>
      <c r="B25" s="109"/>
      <c r="C25" s="110">
        <f>C9-C15+C23</f>
        <v>8.0000000074505806E-2</v>
      </c>
      <c r="D25" s="110">
        <f>D9-D15+D23</f>
        <v>0</v>
      </c>
      <c r="E25" s="110">
        <f>E9-E15+E23</f>
        <v>0</v>
      </c>
      <c r="F25" s="110">
        <f>F9-F15+F23</f>
        <v>0</v>
      </c>
      <c r="H25" s="110">
        <f>H9-H15+H23</f>
        <v>7.0000000006984919E-2</v>
      </c>
      <c r="I25" s="110">
        <f>I9-I15+I23</f>
        <v>7.0000000298023224E-2</v>
      </c>
      <c r="K25" s="110">
        <f>K9-K15+K23</f>
        <v>0</v>
      </c>
      <c r="L25" s="110">
        <f>L9-L15+L23</f>
        <v>7.0000000298023224E-2</v>
      </c>
      <c r="N25" s="110">
        <f>N9-N15+N23</f>
        <v>0</v>
      </c>
      <c r="O25" s="110">
        <f>O9-O15+O23</f>
        <v>7.0000000298023224E-2</v>
      </c>
      <c r="Q25" s="110">
        <f>Q9-Q15+Q23</f>
        <v>0</v>
      </c>
      <c r="R25" s="110">
        <f>R9-R15+R23</f>
        <v>0</v>
      </c>
    </row>
    <row r="27" spans="1:18">
      <c r="A27" s="105" t="s">
        <v>474</v>
      </c>
    </row>
    <row r="28" spans="1:18">
      <c r="A28" s="105" t="s">
        <v>470</v>
      </c>
    </row>
    <row r="29" spans="1:18">
      <c r="A29" s="105" t="s">
        <v>477</v>
      </c>
      <c r="B29" s="132"/>
    </row>
    <row r="30" spans="1:18">
      <c r="A30" s="105" t="s">
        <v>481</v>
      </c>
      <c r="B30" s="132"/>
      <c r="J30" s="219"/>
    </row>
    <row r="31" spans="1:18">
      <c r="A31" s="105" t="s">
        <v>492</v>
      </c>
      <c r="B31" s="132"/>
      <c r="J31" s="219" t="s">
        <v>461</v>
      </c>
    </row>
    <row r="32" spans="1:18">
      <c r="J32" s="219" t="s">
        <v>462</v>
      </c>
    </row>
    <row r="33" spans="1:1">
      <c r="A33" s="104" t="s">
        <v>493</v>
      </c>
    </row>
    <row r="34" spans="1:1">
      <c r="A34" s="104"/>
    </row>
    <row r="35" spans="1:1">
      <c r="A35" s="104" t="s">
        <v>382</v>
      </c>
    </row>
  </sheetData>
  <mergeCells count="5">
    <mergeCell ref="A2:F2"/>
    <mergeCell ref="H3:I3"/>
    <mergeCell ref="K3:L3"/>
    <mergeCell ref="N3:O3"/>
    <mergeCell ref="Q3:R3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E337-821C-48DC-938B-4A57E36BA0FC}">
  <sheetPr>
    <pageSetUpPr fitToPage="1"/>
  </sheetPr>
  <dimension ref="A2:R35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customWidth="1" collapsed="1"/>
    <col min="15" max="15" width="14.7109375" style="105" customWidth="1"/>
    <col min="16" max="16" width="3.5703125" style="105" customWidth="1"/>
    <col min="17" max="17" width="16.140625" style="105" customWidth="1"/>
    <col min="18" max="18" width="16" style="105" customWidth="1"/>
    <col min="19" max="16384" width="9.140625" style="105"/>
  </cols>
  <sheetData>
    <row r="2" spans="1:18" ht="15.75">
      <c r="A2" s="465" t="s">
        <v>594</v>
      </c>
      <c r="B2" s="465"/>
      <c r="C2" s="465"/>
      <c r="D2" s="465"/>
      <c r="E2" s="465"/>
      <c r="F2" s="465"/>
    </row>
    <row r="3" spans="1:18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</row>
    <row r="4" spans="1:18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</row>
    <row r="5" spans="1:18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</row>
    <row r="6" spans="1:18">
      <c r="A6" s="105" t="s">
        <v>267</v>
      </c>
      <c r="B6" s="105" t="s">
        <v>268</v>
      </c>
      <c r="C6" s="106">
        <f>Rozpis_Příjmy!BO122</f>
        <v>514500</v>
      </c>
      <c r="D6" s="106">
        <f>Rozpis_Příjmy!CN122</f>
        <v>593640</v>
      </c>
      <c r="E6" s="106">
        <f>Rozpis_Příjmy!CP122</f>
        <v>435708.33</v>
      </c>
      <c r="F6" s="106">
        <f>Rozpis_Příjmy!CR122</f>
        <v>514800</v>
      </c>
      <c r="H6" s="106">
        <f>Rozpis_Příjmy!CU122</f>
        <v>-150000</v>
      </c>
      <c r="I6" s="106">
        <f>Rozpis_Příjmy!CV122</f>
        <v>364800</v>
      </c>
      <c r="K6" s="106">
        <f>Rozpis_Příjmy!CX122</f>
        <v>13000</v>
      </c>
      <c r="L6" s="106">
        <f>Rozpis_Příjmy!CY122</f>
        <v>377800</v>
      </c>
      <c r="N6" s="106">
        <f>Rozpis_Příjmy!DA122</f>
        <v>249450</v>
      </c>
      <c r="O6" s="106">
        <f>Rozpis_Příjmy!DB122</f>
        <v>627250</v>
      </c>
      <c r="Q6" s="106">
        <f>Rozpis_Příjmy!DD122</f>
        <v>16500</v>
      </c>
      <c r="R6" s="106">
        <f>Rozpis_Příjmy!DE122</f>
        <v>643750</v>
      </c>
    </row>
    <row r="7" spans="1:18">
      <c r="A7" s="105" t="s">
        <v>269</v>
      </c>
      <c r="B7" s="105" t="s">
        <v>270</v>
      </c>
      <c r="C7" s="106">
        <f>Rozpis_Příjmy!BO99</f>
        <v>40000</v>
      </c>
      <c r="D7" s="106">
        <f>Rozpis_Příjmy!CN99</f>
        <v>70000</v>
      </c>
      <c r="E7" s="106">
        <f>Rozpis_Příjmy!CP99</f>
        <v>59144</v>
      </c>
      <c r="F7" s="106">
        <f>Rozpis_Příjmy!CR99</f>
        <v>30000</v>
      </c>
      <c r="H7" s="106">
        <f>Rozpis_Příjmy!CU99</f>
        <v>150000</v>
      </c>
      <c r="I7" s="106">
        <f>Rozpis_Příjmy!CV99</f>
        <v>180000</v>
      </c>
      <c r="K7" s="106">
        <f>Rozpis_Příjmy!CX99</f>
        <v>0</v>
      </c>
      <c r="L7" s="106">
        <f>Rozpis_Příjmy!CY99</f>
        <v>180000</v>
      </c>
      <c r="N7" s="106">
        <f>Rozpis_Příjmy!DA99</f>
        <v>0</v>
      </c>
      <c r="O7" s="106">
        <f>Rozpis_Příjmy!DB99</f>
        <v>180000</v>
      </c>
      <c r="Q7" s="106">
        <f>Rozpis_Příjmy!DD99</f>
        <v>11500</v>
      </c>
      <c r="R7" s="106">
        <f>Rozpis_Příjmy!DE99</f>
        <v>191500</v>
      </c>
    </row>
    <row r="8" spans="1:18">
      <c r="A8" s="105" t="s">
        <v>271</v>
      </c>
      <c r="B8" s="105" t="s">
        <v>272</v>
      </c>
      <c r="C8" s="106">
        <f>Rozpis_Příjmy!BO35</f>
        <v>1228300</v>
      </c>
      <c r="D8" s="106">
        <f>Rozpis_Příjmy!CN35</f>
        <v>1377347.88</v>
      </c>
      <c r="E8" s="106">
        <f>Rozpis_Příjmy!CP35</f>
        <v>1377347.92</v>
      </c>
      <c r="F8" s="106">
        <f>Rozpis_Příjmy!CR35</f>
        <v>365188.89</v>
      </c>
      <c r="H8" s="106">
        <f>Rozpis_Příjmy!CU35</f>
        <v>0</v>
      </c>
      <c r="I8" s="106">
        <f>Rozpis_Příjmy!CV35</f>
        <v>365188.89</v>
      </c>
      <c r="K8" s="106">
        <f>Rozpis_Příjmy!CX35</f>
        <v>129761</v>
      </c>
      <c r="L8" s="106">
        <f>Rozpis_Příjmy!CY35</f>
        <v>494949.89</v>
      </c>
      <c r="N8" s="106">
        <f>Rozpis_Příjmy!DA35</f>
        <v>995684</v>
      </c>
      <c r="O8" s="106">
        <f>Rozpis_Příjmy!DB35</f>
        <v>1490633.8900000001</v>
      </c>
      <c r="Q8" s="106">
        <f>Rozpis_Příjmy!DD35</f>
        <v>96000</v>
      </c>
      <c r="R8" s="106">
        <f>Rozpis_Příjmy!DE35</f>
        <v>1586633.8900000001</v>
      </c>
    </row>
    <row r="9" spans="1:18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</row>
    <row r="10" spans="1:18">
      <c r="H10" s="106"/>
      <c r="I10" s="106"/>
      <c r="K10" s="106"/>
      <c r="L10" s="106"/>
      <c r="N10" s="106"/>
      <c r="O10" s="106"/>
      <c r="Q10" s="106"/>
      <c r="R10" s="106"/>
    </row>
    <row r="11" spans="1:18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</row>
    <row r="12" spans="1:18">
      <c r="A12" s="105" t="s">
        <v>274</v>
      </c>
      <c r="B12" s="105" t="s">
        <v>275</v>
      </c>
      <c r="C12" s="106">
        <f>Rozpis_Výdaje!BM350</f>
        <v>7195600</v>
      </c>
      <c r="D12" s="106">
        <f>Rozpis_Výdaje!CY350</f>
        <v>7479854.8899999997</v>
      </c>
      <c r="E12" s="106">
        <f>Rozpis_Výdaje!DA350</f>
        <v>7594747.4400000004</v>
      </c>
      <c r="F12" s="106">
        <f>Rozpis_Výdaje!DC350</f>
        <v>6251689.0999999996</v>
      </c>
      <c r="H12" s="106">
        <f>Rozpis_Výdaje!DE350</f>
        <v>0</v>
      </c>
      <c r="I12" s="106">
        <f>Rozpis_Výdaje!DF350</f>
        <v>6251689.0999999996</v>
      </c>
      <c r="K12" s="106">
        <f>Rozpis_Výdaje!DH350</f>
        <v>57325</v>
      </c>
      <c r="L12" s="106">
        <f>Rozpis_Výdaje!DI350</f>
        <v>6309014.0999999996</v>
      </c>
      <c r="N12" s="106">
        <f>Rozpis_Výdaje!DK350</f>
        <v>249450</v>
      </c>
      <c r="O12" s="106">
        <f>Rozpis_Výdaje!DL350</f>
        <v>6558464.0999999996</v>
      </c>
      <c r="Q12" s="106">
        <f>Rozpis_Výdaje!DQ350</f>
        <v>116300</v>
      </c>
      <c r="R12" s="106">
        <f>Rozpis_Výdaje!DR350</f>
        <v>6674764.0999999996</v>
      </c>
    </row>
    <row r="13" spans="1:18">
      <c r="A13" s="105" t="s">
        <v>276</v>
      </c>
      <c r="B13" s="105" t="s">
        <v>277</v>
      </c>
      <c r="C13" s="106">
        <f>Rozpis_Výdaje!BM353</f>
        <v>2057900</v>
      </c>
      <c r="D13" s="106">
        <f>Rozpis_Výdaje!CY353</f>
        <v>2482600</v>
      </c>
      <c r="E13" s="106">
        <f>Rozpis_Výdaje!DA353</f>
        <v>2481231</v>
      </c>
      <c r="F13" s="106">
        <f>Rozpis_Výdaje!DC353</f>
        <v>539700</v>
      </c>
      <c r="G13" s="105" t="s">
        <v>457</v>
      </c>
      <c r="H13" s="106">
        <f>Rozpis_Výdaje!DE353</f>
        <v>0</v>
      </c>
      <c r="I13" s="106">
        <f>Rozpis_Výdaje!DF353</f>
        <v>539700</v>
      </c>
      <c r="K13" s="106">
        <f>Rozpis_Výdaje!DH353</f>
        <v>0</v>
      </c>
      <c r="L13" s="106">
        <f>Rozpis_Výdaje!DI353</f>
        <v>539700</v>
      </c>
      <c r="N13" s="106">
        <f>Rozpis_Výdaje!DK353</f>
        <v>866540.65999999992</v>
      </c>
      <c r="O13" s="106">
        <f>Rozpis_Výdaje!DL353</f>
        <v>1406240.66</v>
      </c>
      <c r="Q13" s="106">
        <f>Rozpis_Výdaje!DQ353</f>
        <v>99000</v>
      </c>
      <c r="R13" s="106">
        <f>Rozpis_Výdaje!DR353</f>
        <v>1505240.66</v>
      </c>
    </row>
    <row r="14" spans="1:18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</row>
    <row r="15" spans="1:18">
      <c r="H15" s="106"/>
      <c r="I15" s="106"/>
      <c r="K15" s="106"/>
      <c r="L15" s="106"/>
      <c r="N15" s="106"/>
      <c r="O15" s="106"/>
      <c r="Q15" s="106"/>
      <c r="R15" s="106"/>
    </row>
    <row r="16" spans="1:18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</row>
    <row r="17" spans="1:18">
      <c r="H17" s="106"/>
      <c r="I17" s="106"/>
      <c r="K17" s="106"/>
      <c r="L17" s="106"/>
      <c r="N17" s="106"/>
      <c r="O17" s="106"/>
      <c r="Q17" s="106"/>
      <c r="R17" s="106"/>
    </row>
    <row r="18" spans="1:18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</row>
    <row r="19" spans="1:18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</row>
    <row r="20" spans="1:18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</row>
    <row r="21" spans="1:18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</row>
    <row r="22" spans="1:18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</row>
    <row r="23" spans="1:18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</row>
    <row r="24" spans="1:18">
      <c r="H24" s="106"/>
      <c r="I24" s="106"/>
      <c r="K24" s="106"/>
      <c r="L24" s="106"/>
      <c r="N24" s="106"/>
      <c r="O24" s="106"/>
      <c r="Q24" s="106"/>
      <c r="R24" s="106"/>
    </row>
    <row r="25" spans="1:18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</row>
    <row r="26" spans="1:18">
      <c r="D26" s="105" t="s">
        <v>457</v>
      </c>
    </row>
    <row r="27" spans="1:18">
      <c r="A27" s="105" t="s">
        <v>597</v>
      </c>
      <c r="F27" s="105" t="s">
        <v>596</v>
      </c>
    </row>
    <row r="28" spans="1:18">
      <c r="A28" s="105" t="s">
        <v>604</v>
      </c>
      <c r="F28" s="105" t="s">
        <v>607</v>
      </c>
    </row>
    <row r="29" spans="1:18">
      <c r="A29" s="105" t="s">
        <v>605</v>
      </c>
      <c r="F29" s="105" t="s">
        <v>606</v>
      </c>
    </row>
    <row r="30" spans="1:18">
      <c r="A30" s="105" t="s">
        <v>609</v>
      </c>
      <c r="F30" s="105" t="s">
        <v>617</v>
      </c>
    </row>
    <row r="31" spans="1:18">
      <c r="A31" s="105" t="s">
        <v>621</v>
      </c>
      <c r="F31" s="105" t="s">
        <v>622</v>
      </c>
    </row>
    <row r="33" spans="1:17">
      <c r="B33" s="132"/>
      <c r="Q33" s="105" t="s">
        <v>461</v>
      </c>
    </row>
    <row r="34" spans="1:17">
      <c r="Q34" s="105" t="s">
        <v>462</v>
      </c>
    </row>
    <row r="35" spans="1:17">
      <c r="A35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9F29-38C5-472C-8E5E-E5E50ACC88DC}">
  <sheetPr>
    <pageSetUpPr fitToPage="1"/>
  </sheetPr>
  <dimension ref="A2:O34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0" width="1.28515625" style="105" customWidth="1"/>
    <col min="11" max="11" width="12.7109375" style="105" customWidth="1"/>
    <col min="12" max="12" width="15.5703125" style="105" customWidth="1"/>
    <col min="13" max="13" width="1.7109375" style="105" customWidth="1"/>
    <col min="14" max="14" width="12.7109375" style="105" customWidth="1"/>
    <col min="15" max="15" width="14.7109375" style="105" customWidth="1"/>
    <col min="16" max="16384" width="9.140625" style="105"/>
  </cols>
  <sheetData>
    <row r="2" spans="1:15" ht="15.75">
      <c r="A2" s="465" t="s">
        <v>594</v>
      </c>
      <c r="B2" s="465"/>
      <c r="C2" s="465"/>
      <c r="D2" s="465"/>
      <c r="E2" s="465"/>
      <c r="F2" s="465"/>
    </row>
    <row r="3" spans="1:15" ht="15.75">
      <c r="H3" s="117" t="s">
        <v>469</v>
      </c>
      <c r="I3" s="117"/>
      <c r="K3" s="117" t="s">
        <v>478</v>
      </c>
      <c r="L3" s="117"/>
      <c r="N3" s="117" t="s">
        <v>482</v>
      </c>
      <c r="O3" s="117"/>
    </row>
    <row r="4" spans="1:15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</row>
    <row r="5" spans="1:15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</row>
    <row r="6" spans="1:15">
      <c r="A6" s="105" t="s">
        <v>267</v>
      </c>
      <c r="B6" s="105" t="s">
        <v>268</v>
      </c>
      <c r="C6" s="106">
        <f>Rozpis_Příjmy!BO122</f>
        <v>514500</v>
      </c>
      <c r="D6" s="106">
        <f>Rozpis_Příjmy!CN122</f>
        <v>593640</v>
      </c>
      <c r="E6" s="106">
        <f>Rozpis_Příjmy!CP122</f>
        <v>435708.33</v>
      </c>
      <c r="F6" s="106">
        <f>Rozpis_Příjmy!CR122</f>
        <v>514800</v>
      </c>
      <c r="H6" s="106">
        <f>Rozpis_Příjmy!CU122</f>
        <v>-150000</v>
      </c>
      <c r="I6" s="106">
        <f>Rozpis_Příjmy!CV122</f>
        <v>364800</v>
      </c>
      <c r="K6" s="106">
        <f>Rozpis_Příjmy!CX122</f>
        <v>13000</v>
      </c>
      <c r="L6" s="106">
        <f>Rozpis_Příjmy!CY122</f>
        <v>377800</v>
      </c>
      <c r="N6" s="106">
        <f>Rozpis_Příjmy!DA122</f>
        <v>249450</v>
      </c>
      <c r="O6" s="106">
        <f>Rozpis_Příjmy!DB122</f>
        <v>627250</v>
      </c>
    </row>
    <row r="7" spans="1:15">
      <c r="A7" s="105" t="s">
        <v>269</v>
      </c>
      <c r="B7" s="105" t="s">
        <v>270</v>
      </c>
      <c r="C7" s="106">
        <f>Rozpis_Příjmy!BO99</f>
        <v>40000</v>
      </c>
      <c r="D7" s="106">
        <f>Rozpis_Příjmy!CN99</f>
        <v>70000</v>
      </c>
      <c r="E7" s="106">
        <f>Rozpis_Příjmy!CP99</f>
        <v>59144</v>
      </c>
      <c r="F7" s="106">
        <f>Rozpis_Příjmy!CR99</f>
        <v>30000</v>
      </c>
      <c r="H7" s="106">
        <f>Rozpis_Příjmy!CU99</f>
        <v>150000</v>
      </c>
      <c r="I7" s="106">
        <f>Rozpis_Příjmy!CV99</f>
        <v>180000</v>
      </c>
      <c r="K7" s="106">
        <f>Rozpis_Příjmy!CX99</f>
        <v>0</v>
      </c>
      <c r="L7" s="106">
        <f>Rozpis_Příjmy!CY99</f>
        <v>180000</v>
      </c>
      <c r="N7" s="106">
        <f>Rozpis_Příjmy!DA99</f>
        <v>0</v>
      </c>
      <c r="O7" s="106">
        <f>Rozpis_Příjmy!DB99</f>
        <v>180000</v>
      </c>
    </row>
    <row r="8" spans="1:15">
      <c r="A8" s="105" t="s">
        <v>271</v>
      </c>
      <c r="B8" s="105" t="s">
        <v>272</v>
      </c>
      <c r="C8" s="106">
        <f>Rozpis_Příjmy!BO35</f>
        <v>1228300</v>
      </c>
      <c r="D8" s="106">
        <f>Rozpis_Příjmy!CN35</f>
        <v>1377347.88</v>
      </c>
      <c r="E8" s="106">
        <f>Rozpis_Příjmy!CP35</f>
        <v>1377347.92</v>
      </c>
      <c r="F8" s="106">
        <f>Rozpis_Příjmy!CR35</f>
        <v>365188.89</v>
      </c>
      <c r="H8" s="106">
        <f>Rozpis_Příjmy!CU35</f>
        <v>0</v>
      </c>
      <c r="I8" s="106">
        <f>Rozpis_Příjmy!CV35</f>
        <v>365188.89</v>
      </c>
      <c r="K8" s="106">
        <f>Rozpis_Příjmy!CX35</f>
        <v>129761</v>
      </c>
      <c r="L8" s="106">
        <f>Rozpis_Příjmy!CY35</f>
        <v>494949.89</v>
      </c>
      <c r="N8" s="106">
        <f>Rozpis_Příjmy!DA35</f>
        <v>995684</v>
      </c>
      <c r="O8" s="106">
        <f>Rozpis_Příjmy!DB35</f>
        <v>1490633.8900000001</v>
      </c>
    </row>
    <row r="9" spans="1:15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</row>
    <row r="10" spans="1:15">
      <c r="H10" s="106"/>
      <c r="I10" s="106"/>
      <c r="K10" s="106"/>
      <c r="L10" s="106"/>
      <c r="N10" s="106"/>
      <c r="O10" s="106"/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</row>
    <row r="12" spans="1:15">
      <c r="A12" s="105" t="s">
        <v>274</v>
      </c>
      <c r="B12" s="105" t="s">
        <v>275</v>
      </c>
      <c r="C12" s="106">
        <f>Rozpis_Výdaje!BM350</f>
        <v>7195600</v>
      </c>
      <c r="D12" s="106">
        <f>Rozpis_Výdaje!CY350</f>
        <v>7479854.8899999997</v>
      </c>
      <c r="E12" s="106">
        <f>Rozpis_Výdaje!DA350</f>
        <v>7594747.4400000004</v>
      </c>
      <c r="F12" s="106">
        <f>Rozpis_Výdaje!DC350</f>
        <v>6251689.0999999996</v>
      </c>
      <c r="H12" s="106">
        <f>Rozpis_Výdaje!DE350</f>
        <v>0</v>
      </c>
      <c r="I12" s="106">
        <f>Rozpis_Výdaje!DF350</f>
        <v>6251689.0999999996</v>
      </c>
      <c r="K12" s="106">
        <f>Rozpis_Výdaje!DH350</f>
        <v>57325</v>
      </c>
      <c r="L12" s="106">
        <f>Rozpis_Výdaje!DI350</f>
        <v>6309014.0999999996</v>
      </c>
      <c r="N12" s="106">
        <f>Rozpis_Výdaje!DK350</f>
        <v>249450</v>
      </c>
      <c r="O12" s="106">
        <f>Rozpis_Výdaje!DL350</f>
        <v>6558464.0999999996</v>
      </c>
    </row>
    <row r="13" spans="1:15">
      <c r="A13" s="105" t="s">
        <v>276</v>
      </c>
      <c r="B13" s="105" t="s">
        <v>277</v>
      </c>
      <c r="C13" s="106">
        <f>Rozpis_Výdaje!BM353</f>
        <v>2057900</v>
      </c>
      <c r="D13" s="106">
        <f>Rozpis_Výdaje!CY353</f>
        <v>2482600</v>
      </c>
      <c r="E13" s="106">
        <f>Rozpis_Výdaje!DA353</f>
        <v>2481231</v>
      </c>
      <c r="F13" s="106">
        <f>Rozpis_Výdaje!DC353</f>
        <v>539700</v>
      </c>
      <c r="G13" s="105" t="s">
        <v>457</v>
      </c>
      <c r="H13" s="106">
        <f>Rozpis_Výdaje!DE353</f>
        <v>0</v>
      </c>
      <c r="I13" s="106">
        <f>Rozpis_Výdaje!DF353</f>
        <v>539700</v>
      </c>
      <c r="K13" s="106">
        <f>Rozpis_Výdaje!DH353</f>
        <v>0</v>
      </c>
      <c r="L13" s="106">
        <f>Rozpis_Výdaje!DI353</f>
        <v>539700</v>
      </c>
      <c r="N13" s="106">
        <f>Rozpis_Výdaje!DK353</f>
        <v>866540.65999999992</v>
      </c>
      <c r="O13" s="106">
        <f>Rozpis_Výdaje!DL353</f>
        <v>1406240.66</v>
      </c>
    </row>
    <row r="14" spans="1:15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</row>
    <row r="15" spans="1:15">
      <c r="H15" s="106"/>
      <c r="I15" s="106"/>
      <c r="K15" s="106"/>
      <c r="L15" s="106"/>
      <c r="N15" s="106"/>
      <c r="O15" s="106"/>
    </row>
    <row r="16" spans="1:15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</row>
    <row r="17" spans="1:15">
      <c r="H17" s="106"/>
      <c r="I17" s="106"/>
      <c r="K17" s="106"/>
      <c r="L17" s="106"/>
      <c r="N17" s="106"/>
      <c r="O17" s="106"/>
    </row>
    <row r="18" spans="1:15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</row>
    <row r="19" spans="1:15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</row>
    <row r="20" spans="1:15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</row>
    <row r="21" spans="1:15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</row>
    <row r="22" spans="1:15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</row>
    <row r="23" spans="1:15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</row>
    <row r="24" spans="1:15">
      <c r="H24" s="106"/>
      <c r="I24" s="106"/>
      <c r="K24" s="106"/>
      <c r="L24" s="106"/>
      <c r="N24" s="106"/>
      <c r="O24" s="106"/>
    </row>
    <row r="25" spans="1:15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</row>
    <row r="26" spans="1:15">
      <c r="D26" s="105" t="s">
        <v>457</v>
      </c>
    </row>
    <row r="27" spans="1:15">
      <c r="A27" s="105" t="s">
        <v>597</v>
      </c>
      <c r="F27" s="105" t="s">
        <v>596</v>
      </c>
    </row>
    <row r="28" spans="1:15">
      <c r="A28" s="105" t="s">
        <v>604</v>
      </c>
      <c r="F28" s="105" t="s">
        <v>607</v>
      </c>
    </row>
    <row r="29" spans="1:15">
      <c r="A29" s="105" t="s">
        <v>605</v>
      </c>
      <c r="F29" s="105" t="s">
        <v>606</v>
      </c>
    </row>
    <row r="30" spans="1:15">
      <c r="A30" s="105" t="s">
        <v>609</v>
      </c>
      <c r="F30" s="105" t="s">
        <v>617</v>
      </c>
    </row>
    <row r="32" spans="1:15">
      <c r="B32" s="132"/>
      <c r="L32" s="105" t="s">
        <v>461</v>
      </c>
    </row>
    <row r="33" spans="1:12">
      <c r="L33" s="105" t="s">
        <v>462</v>
      </c>
    </row>
    <row r="34" spans="1:12">
      <c r="A34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7F2E8-A0D5-4A49-81C2-7F1D819688FA}">
  <sheetPr>
    <pageSetUpPr fitToPage="1"/>
  </sheetPr>
  <dimension ref="A2:O34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0" width="1.28515625" style="105" customWidth="1"/>
    <col min="11" max="11" width="12.7109375" style="105" customWidth="1"/>
    <col min="12" max="12" width="15.5703125" style="105" customWidth="1"/>
    <col min="13" max="13" width="1.7109375" style="105" customWidth="1"/>
    <col min="14" max="14" width="19.42578125" style="105" customWidth="1"/>
    <col min="15" max="15" width="17.28515625" style="105" customWidth="1"/>
    <col min="16" max="16384" width="9.140625" style="105"/>
  </cols>
  <sheetData>
    <row r="2" spans="1:15" ht="15.75">
      <c r="A2" s="465" t="s">
        <v>594</v>
      </c>
      <c r="B2" s="465"/>
      <c r="C2" s="465"/>
      <c r="D2" s="465"/>
      <c r="E2" s="465"/>
      <c r="F2" s="465"/>
    </row>
    <row r="3" spans="1:15" ht="15.75">
      <c r="H3" s="117" t="s">
        <v>469</v>
      </c>
      <c r="I3" s="117"/>
      <c r="K3" s="117" t="s">
        <v>478</v>
      </c>
      <c r="L3" s="117"/>
      <c r="N3" s="117" t="s">
        <v>615</v>
      </c>
      <c r="O3" s="117"/>
    </row>
    <row r="4" spans="1:15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</row>
    <row r="5" spans="1:15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</row>
    <row r="6" spans="1:15">
      <c r="A6" s="105" t="s">
        <v>267</v>
      </c>
      <c r="B6" s="105" t="s">
        <v>268</v>
      </c>
      <c r="C6" s="106">
        <f>Rozpis_Příjmy!BO122</f>
        <v>514500</v>
      </c>
      <c r="D6" s="106">
        <f>Rozpis_Příjmy!CN122</f>
        <v>593640</v>
      </c>
      <c r="E6" s="106">
        <f>Rozpis_Příjmy!CP122</f>
        <v>435708.33</v>
      </c>
      <c r="F6" s="106">
        <f>Rozpis_Příjmy!CR122</f>
        <v>514800</v>
      </c>
      <c r="H6" s="106">
        <f>Rozpis_Příjmy!CU122</f>
        <v>-150000</v>
      </c>
      <c r="I6" s="106">
        <f>Rozpis_Příjmy!CV122</f>
        <v>364800</v>
      </c>
      <c r="K6" s="106">
        <f>Rozpis_Příjmy!CX122</f>
        <v>13000</v>
      </c>
      <c r="L6" s="106">
        <f>Rozpis_Příjmy!CY122</f>
        <v>377800</v>
      </c>
      <c r="N6" s="106">
        <f>Rozpis_Příjmy!DA122</f>
        <v>249450</v>
      </c>
      <c r="O6" s="106">
        <f>Rozpis_Příjmy!DB122</f>
        <v>627250</v>
      </c>
    </row>
    <row r="7" spans="1:15">
      <c r="A7" s="105" t="s">
        <v>269</v>
      </c>
      <c r="B7" s="105" t="s">
        <v>270</v>
      </c>
      <c r="C7" s="106">
        <f>Rozpis_Příjmy!BO99</f>
        <v>40000</v>
      </c>
      <c r="D7" s="106">
        <f>Rozpis_Příjmy!CN99</f>
        <v>70000</v>
      </c>
      <c r="E7" s="106">
        <f>Rozpis_Příjmy!CP99</f>
        <v>59144</v>
      </c>
      <c r="F7" s="106">
        <f>Rozpis_Příjmy!CR99</f>
        <v>30000</v>
      </c>
      <c r="H7" s="106">
        <f>Rozpis_Příjmy!CU99</f>
        <v>150000</v>
      </c>
      <c r="I7" s="106">
        <f>Rozpis_Příjmy!CV99</f>
        <v>180000</v>
      </c>
      <c r="K7" s="106">
        <f>Rozpis_Příjmy!CX99</f>
        <v>0</v>
      </c>
      <c r="L7" s="106">
        <f>Rozpis_Příjmy!CY99</f>
        <v>180000</v>
      </c>
      <c r="N7" s="106">
        <f>Rozpis_Příjmy!DA99</f>
        <v>0</v>
      </c>
      <c r="O7" s="106">
        <f>Rozpis_Příjmy!DB99</f>
        <v>180000</v>
      </c>
    </row>
    <row r="8" spans="1:15">
      <c r="A8" s="105" t="s">
        <v>271</v>
      </c>
      <c r="B8" s="105" t="s">
        <v>272</v>
      </c>
      <c r="C8" s="106">
        <f>Rozpis_Příjmy!BO35</f>
        <v>1228300</v>
      </c>
      <c r="D8" s="106">
        <f>Rozpis_Příjmy!CN35</f>
        <v>1377347.88</v>
      </c>
      <c r="E8" s="106">
        <f>Rozpis_Příjmy!CP35</f>
        <v>1377347.92</v>
      </c>
      <c r="F8" s="106">
        <f>Rozpis_Příjmy!CR35</f>
        <v>365188.89</v>
      </c>
      <c r="H8" s="106">
        <f>Rozpis_Příjmy!CU35</f>
        <v>0</v>
      </c>
      <c r="I8" s="106">
        <f>Rozpis_Příjmy!CV35</f>
        <v>365188.89</v>
      </c>
      <c r="K8" s="106">
        <f>Rozpis_Příjmy!CX35</f>
        <v>129761</v>
      </c>
      <c r="L8" s="106">
        <f>Rozpis_Příjmy!CY35</f>
        <v>494949.89</v>
      </c>
      <c r="N8" s="106">
        <f>Rozpis_Příjmy!DA35</f>
        <v>995684</v>
      </c>
      <c r="O8" s="106">
        <f>Rozpis_Příjmy!DB35</f>
        <v>1490633.8900000001</v>
      </c>
    </row>
    <row r="9" spans="1:15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</row>
    <row r="10" spans="1:15">
      <c r="H10" s="106"/>
      <c r="I10" s="106"/>
      <c r="K10" s="106"/>
      <c r="L10" s="106"/>
      <c r="N10" s="106"/>
      <c r="O10" s="106"/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</row>
    <row r="12" spans="1:15">
      <c r="A12" s="105" t="s">
        <v>274</v>
      </c>
      <c r="B12" s="105" t="s">
        <v>275</v>
      </c>
      <c r="C12" s="106">
        <f>Rozpis_Výdaje!BM350</f>
        <v>7195600</v>
      </c>
      <c r="D12" s="106">
        <f>Rozpis_Výdaje!CY350</f>
        <v>7479854.8899999997</v>
      </c>
      <c r="E12" s="106">
        <f>Rozpis_Výdaje!DA350</f>
        <v>7594747.4400000004</v>
      </c>
      <c r="F12" s="106">
        <f>Rozpis_Výdaje!DC350</f>
        <v>6251689.0999999996</v>
      </c>
      <c r="H12" s="106">
        <f>Rozpis_Výdaje!DE350</f>
        <v>0</v>
      </c>
      <c r="I12" s="106">
        <f>Rozpis_Výdaje!DF350</f>
        <v>6251689.0999999996</v>
      </c>
      <c r="K12" s="106">
        <f>Rozpis_Výdaje!DH350</f>
        <v>57325</v>
      </c>
      <c r="L12" s="106">
        <f>Rozpis_Výdaje!DI350</f>
        <v>6309014.0999999996</v>
      </c>
      <c r="N12" s="106">
        <f>Rozpis_Výdaje!DK350</f>
        <v>249450</v>
      </c>
      <c r="O12" s="106">
        <f>Rozpis_Výdaje!DL350</f>
        <v>6558464.0999999996</v>
      </c>
    </row>
    <row r="13" spans="1:15">
      <c r="A13" s="105" t="s">
        <v>276</v>
      </c>
      <c r="B13" s="105" t="s">
        <v>277</v>
      </c>
      <c r="C13" s="106">
        <f>Rozpis_Výdaje!BM353</f>
        <v>2057900</v>
      </c>
      <c r="D13" s="106">
        <f>Rozpis_Výdaje!CY353</f>
        <v>2482600</v>
      </c>
      <c r="E13" s="106">
        <f>Rozpis_Výdaje!DA353</f>
        <v>2481231</v>
      </c>
      <c r="F13" s="106">
        <f>Rozpis_Výdaje!DC353</f>
        <v>539700</v>
      </c>
      <c r="G13" s="105" t="s">
        <v>457</v>
      </c>
      <c r="H13" s="106">
        <f>Rozpis_Výdaje!DE353</f>
        <v>0</v>
      </c>
      <c r="I13" s="106">
        <f>Rozpis_Výdaje!DF353</f>
        <v>539700</v>
      </c>
      <c r="K13" s="106">
        <f>Rozpis_Výdaje!DH353</f>
        <v>0</v>
      </c>
      <c r="L13" s="106">
        <f>Rozpis_Výdaje!DI353</f>
        <v>539700</v>
      </c>
      <c r="N13" s="106">
        <f>Rozpis_Výdaje!DK353</f>
        <v>866540.65999999992</v>
      </c>
      <c r="O13" s="106">
        <f>Rozpis_Výdaje!DL353</f>
        <v>1406240.66</v>
      </c>
    </row>
    <row r="14" spans="1:15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</row>
    <row r="15" spans="1:15">
      <c r="H15" s="106"/>
      <c r="I15" s="106"/>
      <c r="K15" s="106"/>
      <c r="L15" s="106"/>
      <c r="N15" s="106"/>
      <c r="O15" s="106"/>
    </row>
    <row r="16" spans="1:15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</row>
    <row r="17" spans="1:15">
      <c r="H17" s="106"/>
      <c r="I17" s="106"/>
      <c r="K17" s="106"/>
      <c r="L17" s="106"/>
      <c r="N17" s="106"/>
      <c r="O17" s="106"/>
    </row>
    <row r="18" spans="1:15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</row>
    <row r="19" spans="1:15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</row>
    <row r="20" spans="1:15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</row>
    <row r="21" spans="1:15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</row>
    <row r="22" spans="1:15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</row>
    <row r="23" spans="1:15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</row>
    <row r="24" spans="1:15">
      <c r="H24" s="106"/>
      <c r="I24" s="106"/>
      <c r="K24" s="106"/>
      <c r="L24" s="106"/>
      <c r="N24" s="106"/>
      <c r="O24" s="106"/>
    </row>
    <row r="25" spans="1:15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</row>
    <row r="26" spans="1:15">
      <c r="D26" s="105" t="s">
        <v>457</v>
      </c>
    </row>
    <row r="27" spans="1:15">
      <c r="A27" s="105" t="s">
        <v>597</v>
      </c>
      <c r="F27" s="105" t="s">
        <v>596</v>
      </c>
    </row>
    <row r="28" spans="1:15">
      <c r="A28" s="105" t="s">
        <v>604</v>
      </c>
      <c r="F28" s="105" t="s">
        <v>607</v>
      </c>
    </row>
    <row r="29" spans="1:15">
      <c r="A29" s="105" t="s">
        <v>605</v>
      </c>
      <c r="F29" s="105" t="s">
        <v>606</v>
      </c>
    </row>
    <row r="32" spans="1:15">
      <c r="A32" s="105" t="s">
        <v>616</v>
      </c>
      <c r="B32" s="132"/>
      <c r="L32" s="105" t="s">
        <v>461</v>
      </c>
    </row>
    <row r="33" spans="1:12">
      <c r="L33" s="105" t="s">
        <v>462</v>
      </c>
    </row>
    <row r="34" spans="1:12">
      <c r="A34" s="105" t="s">
        <v>618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34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0" width="1.28515625" style="105" customWidth="1"/>
    <col min="11" max="11" width="12.7109375" style="105" customWidth="1"/>
    <col min="12" max="12" width="15.5703125" style="105" customWidth="1"/>
    <col min="13" max="16384" width="9.140625" style="105"/>
  </cols>
  <sheetData>
    <row r="2" spans="1:12" ht="23.25">
      <c r="A2" s="460" t="s">
        <v>594</v>
      </c>
      <c r="B2" s="460"/>
      <c r="C2" s="460"/>
      <c r="D2" s="460"/>
      <c r="E2" s="460"/>
      <c r="F2" s="460"/>
    </row>
    <row r="3" spans="1:12" ht="15.75">
      <c r="H3" s="117" t="s">
        <v>469</v>
      </c>
      <c r="I3" s="117"/>
      <c r="K3" s="117" t="s">
        <v>478</v>
      </c>
      <c r="L3" s="117"/>
    </row>
    <row r="4" spans="1:12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222" t="s">
        <v>472</v>
      </c>
      <c r="I4" s="222" t="s">
        <v>473</v>
      </c>
      <c r="K4" s="222" t="s">
        <v>472</v>
      </c>
      <c r="L4" s="222" t="s">
        <v>473</v>
      </c>
    </row>
    <row r="5" spans="1:12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</row>
    <row r="6" spans="1:12">
      <c r="A6" s="105" t="s">
        <v>267</v>
      </c>
      <c r="B6" s="105" t="s">
        <v>268</v>
      </c>
      <c r="C6" s="106">
        <f>Rozpis_Příjmy!BO122</f>
        <v>514500</v>
      </c>
      <c r="D6" s="106">
        <f>Rozpis_Příjmy!CN122</f>
        <v>593640</v>
      </c>
      <c r="E6" s="106">
        <f>Rozpis_Příjmy!CP122</f>
        <v>435708.33</v>
      </c>
      <c r="F6" s="106">
        <f>Rozpis_Příjmy!CR122</f>
        <v>514800</v>
      </c>
      <c r="H6" s="106">
        <f>Rozpis_Příjmy!CU122</f>
        <v>-150000</v>
      </c>
      <c r="I6" s="106">
        <f>Rozpis_Příjmy!CV122</f>
        <v>364800</v>
      </c>
      <c r="K6" s="106">
        <f>Rozpis_Příjmy!CX122</f>
        <v>13000</v>
      </c>
      <c r="L6" s="106">
        <f>Rozpis_Příjmy!CY122</f>
        <v>377800</v>
      </c>
    </row>
    <row r="7" spans="1:12">
      <c r="A7" s="105" t="s">
        <v>269</v>
      </c>
      <c r="B7" s="105" t="s">
        <v>270</v>
      </c>
      <c r="C7" s="106">
        <f>Rozpis_Příjmy!BO99</f>
        <v>40000</v>
      </c>
      <c r="D7" s="106">
        <f>Rozpis_Příjmy!CN99</f>
        <v>70000</v>
      </c>
      <c r="E7" s="106">
        <f>Rozpis_Příjmy!CP99</f>
        <v>59144</v>
      </c>
      <c r="F7" s="106">
        <f>Rozpis_Příjmy!CR99</f>
        <v>30000</v>
      </c>
      <c r="H7" s="106">
        <f>Rozpis_Příjmy!CU99</f>
        <v>150000</v>
      </c>
      <c r="I7" s="106">
        <f>Rozpis_Příjmy!CV99</f>
        <v>180000</v>
      </c>
      <c r="K7" s="106">
        <f>Rozpis_Příjmy!CX99</f>
        <v>0</v>
      </c>
      <c r="L7" s="106">
        <f>Rozpis_Příjmy!CY99</f>
        <v>180000</v>
      </c>
    </row>
    <row r="8" spans="1:12">
      <c r="A8" s="105" t="s">
        <v>271</v>
      </c>
      <c r="B8" s="105" t="s">
        <v>272</v>
      </c>
      <c r="C8" s="106">
        <f>Rozpis_Příjmy!BO35</f>
        <v>1228300</v>
      </c>
      <c r="D8" s="106">
        <f>Rozpis_Příjmy!CN35</f>
        <v>1377347.88</v>
      </c>
      <c r="E8" s="106">
        <f>Rozpis_Příjmy!CP35</f>
        <v>1377347.92</v>
      </c>
      <c r="F8" s="106">
        <f>Rozpis_Příjmy!CR35</f>
        <v>365188.89</v>
      </c>
      <c r="H8" s="106">
        <f>Rozpis_Příjmy!CU35</f>
        <v>0</v>
      </c>
      <c r="I8" s="106">
        <f>Rozpis_Příjmy!CV35</f>
        <v>365188.89</v>
      </c>
      <c r="K8" s="106">
        <f>Rozpis_Příjmy!CX35</f>
        <v>129761</v>
      </c>
      <c r="L8" s="106">
        <f>Rozpis_Příjmy!CY35</f>
        <v>494949.89</v>
      </c>
    </row>
    <row r="9" spans="1:12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</row>
    <row r="10" spans="1:12">
      <c r="H10" s="106"/>
      <c r="I10" s="106"/>
      <c r="K10" s="106"/>
      <c r="L10" s="106"/>
    </row>
    <row r="11" spans="1:12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</row>
    <row r="12" spans="1:12">
      <c r="A12" s="105" t="s">
        <v>274</v>
      </c>
      <c r="B12" s="105" t="s">
        <v>275</v>
      </c>
      <c r="C12" s="106">
        <f>Rozpis_Výdaje!BM350</f>
        <v>7195600</v>
      </c>
      <c r="D12" s="106">
        <f>Rozpis_Výdaje!CY350</f>
        <v>7479854.8899999997</v>
      </c>
      <c r="E12" s="106">
        <f>Rozpis_Výdaje!DA350</f>
        <v>7594747.4400000004</v>
      </c>
      <c r="F12" s="106">
        <f>Rozpis_Výdaje!DC350</f>
        <v>6251689.0999999996</v>
      </c>
      <c r="H12" s="106">
        <f>Rozpis_Výdaje!DE350</f>
        <v>0</v>
      </c>
      <c r="I12" s="106">
        <f>Rozpis_Výdaje!DF350</f>
        <v>6251689.0999999996</v>
      </c>
      <c r="K12" s="106">
        <f>Rozpis_Výdaje!DH350</f>
        <v>57325</v>
      </c>
      <c r="L12" s="106">
        <f>Rozpis_Výdaje!DI350</f>
        <v>6309014.0999999996</v>
      </c>
    </row>
    <row r="13" spans="1:12">
      <c r="A13" s="105" t="s">
        <v>276</v>
      </c>
      <c r="B13" s="105" t="s">
        <v>277</v>
      </c>
      <c r="C13" s="106">
        <f>Rozpis_Výdaje!BM353</f>
        <v>2057900</v>
      </c>
      <c r="D13" s="106">
        <f>Rozpis_Výdaje!CY353</f>
        <v>2482600</v>
      </c>
      <c r="E13" s="106">
        <f>Rozpis_Výdaje!DA353</f>
        <v>2481231</v>
      </c>
      <c r="F13" s="106">
        <f>Rozpis_Výdaje!DC353</f>
        <v>539700</v>
      </c>
      <c r="G13" s="105" t="s">
        <v>457</v>
      </c>
      <c r="H13" s="106">
        <f>Rozpis_Výdaje!DE353</f>
        <v>0</v>
      </c>
      <c r="I13" s="106">
        <f>Rozpis_Výdaje!DF353</f>
        <v>539700</v>
      </c>
      <c r="K13" s="106">
        <f>Rozpis_Výdaje!DH353</f>
        <v>0</v>
      </c>
      <c r="L13" s="106">
        <f>Rozpis_Výdaje!DI353</f>
        <v>539700</v>
      </c>
    </row>
    <row r="14" spans="1:12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</row>
    <row r="15" spans="1:12">
      <c r="H15" s="106"/>
      <c r="I15" s="106"/>
      <c r="K15" s="106"/>
      <c r="L15" s="106"/>
    </row>
    <row r="16" spans="1:12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</row>
    <row r="17" spans="1:12">
      <c r="H17" s="106"/>
      <c r="I17" s="106"/>
      <c r="K17" s="106"/>
      <c r="L17" s="106"/>
    </row>
    <row r="18" spans="1:12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</row>
    <row r="19" spans="1:12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</row>
    <row r="20" spans="1:12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</row>
    <row r="21" spans="1:12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</row>
    <row r="22" spans="1:12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</row>
    <row r="23" spans="1:12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</row>
    <row r="24" spans="1:12">
      <c r="H24" s="106"/>
      <c r="I24" s="106"/>
      <c r="K24" s="106"/>
      <c r="L24" s="106"/>
    </row>
    <row r="25" spans="1:12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</row>
    <row r="26" spans="1:12">
      <c r="D26" s="105" t="s">
        <v>457</v>
      </c>
    </row>
    <row r="27" spans="1:12">
      <c r="A27" s="105" t="s">
        <v>597</v>
      </c>
      <c r="E27" s="104" t="s">
        <v>596</v>
      </c>
    </row>
    <row r="28" spans="1:12">
      <c r="A28" s="105" t="s">
        <v>604</v>
      </c>
      <c r="E28" s="104" t="s">
        <v>607</v>
      </c>
    </row>
    <row r="29" spans="1:12">
      <c r="A29" s="105" t="s">
        <v>605</v>
      </c>
      <c r="E29" s="104" t="s">
        <v>606</v>
      </c>
    </row>
    <row r="30" spans="1:12">
      <c r="E30" s="104"/>
    </row>
    <row r="32" spans="1:12">
      <c r="B32" s="132"/>
      <c r="I32" s="219" t="s">
        <v>461</v>
      </c>
    </row>
    <row r="33" spans="1:9">
      <c r="A33" s="104"/>
      <c r="I33" s="219" t="s">
        <v>462</v>
      </c>
    </row>
    <row r="34" spans="1:9">
      <c r="A34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I34"/>
  <sheetViews>
    <sheetView workbookViewId="0">
      <selection activeCell="A28" sqref="A28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customWidth="1"/>
    <col min="9" max="9" width="16.5703125" style="105" customWidth="1"/>
    <col min="10" max="16384" width="9.140625" style="105"/>
  </cols>
  <sheetData>
    <row r="2" spans="1:9" ht="23.25">
      <c r="A2" s="460" t="s">
        <v>594</v>
      </c>
      <c r="B2" s="460"/>
      <c r="C2" s="460"/>
      <c r="D2" s="460"/>
      <c r="E2" s="460"/>
      <c r="F2" s="460"/>
    </row>
    <row r="3" spans="1:9" ht="15.75">
      <c r="H3" s="117" t="s">
        <v>469</v>
      </c>
      <c r="I3" s="117"/>
    </row>
    <row r="4" spans="1:9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222" t="s">
        <v>472</v>
      </c>
      <c r="I4" s="222" t="s">
        <v>473</v>
      </c>
    </row>
    <row r="5" spans="1:9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</row>
    <row r="6" spans="1:9">
      <c r="A6" s="105" t="s">
        <v>267</v>
      </c>
      <c r="B6" s="105" t="s">
        <v>268</v>
      </c>
      <c r="C6" s="106">
        <f>Rozpis_Příjmy!BO122</f>
        <v>514500</v>
      </c>
      <c r="D6" s="106">
        <f>Rozpis_Příjmy!CN122</f>
        <v>593640</v>
      </c>
      <c r="E6" s="106">
        <f>Rozpis_Příjmy!CP122</f>
        <v>435708.33</v>
      </c>
      <c r="F6" s="106">
        <f>Rozpis_Příjmy!CR122</f>
        <v>514800</v>
      </c>
      <c r="H6" s="106">
        <f>Rozpis_Příjmy!CU122</f>
        <v>-150000</v>
      </c>
      <c r="I6" s="106">
        <f>Rozpis_Příjmy!CV122</f>
        <v>364800</v>
      </c>
    </row>
    <row r="7" spans="1:9">
      <c r="A7" s="105" t="s">
        <v>269</v>
      </c>
      <c r="B7" s="105" t="s">
        <v>270</v>
      </c>
      <c r="C7" s="106">
        <f>Rozpis_Příjmy!BO99</f>
        <v>40000</v>
      </c>
      <c r="D7" s="106">
        <f>Rozpis_Příjmy!CN99</f>
        <v>70000</v>
      </c>
      <c r="E7" s="106">
        <f>Rozpis_Příjmy!CP99</f>
        <v>59144</v>
      </c>
      <c r="F7" s="106">
        <f>Rozpis_Příjmy!CR99</f>
        <v>30000</v>
      </c>
      <c r="H7" s="106">
        <f>Rozpis_Příjmy!CU99</f>
        <v>150000</v>
      </c>
      <c r="I7" s="106">
        <f>Rozpis_Příjmy!CV99</f>
        <v>180000</v>
      </c>
    </row>
    <row r="8" spans="1:9">
      <c r="A8" s="105" t="s">
        <v>271</v>
      </c>
      <c r="B8" s="105" t="s">
        <v>272</v>
      </c>
      <c r="C8" s="106">
        <f>Rozpis_Příjmy!BO35</f>
        <v>1228300</v>
      </c>
      <c r="D8" s="106">
        <f>Rozpis_Příjmy!CN35</f>
        <v>1377347.88</v>
      </c>
      <c r="E8" s="106">
        <f>Rozpis_Příjmy!CP35</f>
        <v>1377347.92</v>
      </c>
      <c r="F8" s="106">
        <f>Rozpis_Příjmy!CR35</f>
        <v>365188.89</v>
      </c>
      <c r="H8" s="106">
        <f>Rozpis_Příjmy!CU35</f>
        <v>0</v>
      </c>
      <c r="I8" s="106">
        <f>Rozpis_Příjmy!CV35</f>
        <v>365188.89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</row>
    <row r="10" spans="1:9">
      <c r="H10" s="106"/>
      <c r="I10" s="106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</row>
    <row r="12" spans="1:9">
      <c r="A12" s="105" t="s">
        <v>274</v>
      </c>
      <c r="B12" s="105" t="s">
        <v>275</v>
      </c>
      <c r="C12" s="106">
        <f>Rozpis_Výdaje!BM350</f>
        <v>7195600</v>
      </c>
      <c r="D12" s="106">
        <f>Rozpis_Výdaje!CY350</f>
        <v>7479854.8899999997</v>
      </c>
      <c r="E12" s="106">
        <f>Rozpis_Výdaje!DA350</f>
        <v>7594747.4400000004</v>
      </c>
      <c r="F12" s="106">
        <f>Rozpis_Výdaje!DC350</f>
        <v>6251689.0999999996</v>
      </c>
      <c r="H12" s="106">
        <f>Rozpis_Výdaje!DE350</f>
        <v>0</v>
      </c>
      <c r="I12" s="106">
        <f>Rozpis_Výdaje!DF350</f>
        <v>6251689.0999999996</v>
      </c>
    </row>
    <row r="13" spans="1:9">
      <c r="A13" s="105" t="s">
        <v>276</v>
      </c>
      <c r="B13" s="105" t="s">
        <v>277</v>
      </c>
      <c r="C13" s="106">
        <f>Rozpis_Výdaje!BM353</f>
        <v>2057900</v>
      </c>
      <c r="D13" s="106">
        <f>Rozpis_Výdaje!CY353</f>
        <v>2482600</v>
      </c>
      <c r="E13" s="106">
        <f>Rozpis_Výdaje!DA353</f>
        <v>2481231</v>
      </c>
      <c r="F13" s="106">
        <f>Rozpis_Výdaje!DC353</f>
        <v>539700</v>
      </c>
      <c r="G13" s="105" t="s">
        <v>457</v>
      </c>
      <c r="H13" s="106">
        <f>Rozpis_Výdaje!DE353</f>
        <v>0</v>
      </c>
      <c r="I13" s="106">
        <f>Rozpis_Výdaje!DF353</f>
        <v>539700</v>
      </c>
    </row>
    <row r="14" spans="1:9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</row>
    <row r="15" spans="1:9">
      <c r="H15" s="106"/>
      <c r="I15" s="106"/>
    </row>
    <row r="16" spans="1:9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</row>
    <row r="17" spans="1:9">
      <c r="H17" s="106"/>
      <c r="I17" s="106"/>
    </row>
    <row r="18" spans="1:9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</row>
    <row r="19" spans="1:9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</row>
    <row r="20" spans="1:9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</row>
    <row r="21" spans="1:9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</row>
    <row r="22" spans="1:9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</row>
    <row r="23" spans="1:9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</row>
    <row r="24" spans="1:9">
      <c r="H24" s="106"/>
      <c r="I24" s="106"/>
    </row>
    <row r="25" spans="1:9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</row>
    <row r="26" spans="1:9">
      <c r="D26" s="105" t="s">
        <v>457</v>
      </c>
    </row>
    <row r="27" spans="1:9">
      <c r="A27" s="105" t="s">
        <v>597</v>
      </c>
      <c r="E27" s="104" t="s">
        <v>596</v>
      </c>
    </row>
    <row r="28" spans="1:9">
      <c r="A28" s="105" t="s">
        <v>604</v>
      </c>
      <c r="E28" s="104" t="s">
        <v>607</v>
      </c>
    </row>
    <row r="29" spans="1:9">
      <c r="E29" s="104"/>
    </row>
    <row r="30" spans="1:9">
      <c r="E30" s="104"/>
    </row>
    <row r="32" spans="1:9">
      <c r="B32" s="132"/>
      <c r="H32" s="219" t="s">
        <v>461</v>
      </c>
    </row>
    <row r="33" spans="1:8">
      <c r="A33" s="104"/>
      <c r="H33" s="219" t="s">
        <v>462</v>
      </c>
    </row>
    <row r="34" spans="1:8">
      <c r="A34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I31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2" spans="1:9" ht="23.25">
      <c r="A2" s="460" t="s">
        <v>594</v>
      </c>
      <c r="B2" s="460"/>
      <c r="C2" s="460"/>
      <c r="D2" s="460"/>
      <c r="E2" s="460"/>
      <c r="F2" s="460"/>
      <c r="G2" s="199"/>
    </row>
    <row r="4" spans="1:9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G4" s="211" t="s">
        <v>569</v>
      </c>
      <c r="H4" s="212" t="s">
        <v>573</v>
      </c>
    </row>
    <row r="5" spans="1:9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G5" s="201">
        <f>F5/C5-1</f>
        <v>0.12956100079281674</v>
      </c>
      <c r="H5" s="201">
        <f>F5/E5-1</f>
        <v>7.0411814615191748E-2</v>
      </c>
    </row>
    <row r="6" spans="1:9">
      <c r="A6" s="105" t="s">
        <v>267</v>
      </c>
      <c r="B6" s="105" t="s">
        <v>268</v>
      </c>
      <c r="C6" s="106">
        <f>Rozpis_Příjmy!BO122</f>
        <v>514500</v>
      </c>
      <c r="D6" s="106">
        <f>Rozpis_Příjmy!CN122</f>
        <v>593640</v>
      </c>
      <c r="E6" s="106">
        <f>Rozpis_Příjmy!CP122</f>
        <v>435708.33</v>
      </c>
      <c r="F6" s="106">
        <f>Rozpis_Příjmy!CR122</f>
        <v>514800</v>
      </c>
      <c r="G6" s="201">
        <f t="shared" ref="G6:G9" si="0">F6/C6-1</f>
        <v>5.8309037900872163E-4</v>
      </c>
      <c r="H6" s="201">
        <f t="shared" ref="H6:H14" si="1">F6/E6-1</f>
        <v>0.18152434680328455</v>
      </c>
    </row>
    <row r="7" spans="1:9">
      <c r="A7" s="105" t="s">
        <v>269</v>
      </c>
      <c r="B7" s="105" t="s">
        <v>270</v>
      </c>
      <c r="C7" s="106">
        <f>Rozpis_Příjmy!BO99</f>
        <v>40000</v>
      </c>
      <c r="D7" s="106">
        <f>Rozpis_Příjmy!CN99</f>
        <v>70000</v>
      </c>
      <c r="E7" s="106">
        <f>Rozpis_Příjmy!CP99</f>
        <v>59144</v>
      </c>
      <c r="F7" s="106">
        <f>Rozpis_Příjmy!CR99</f>
        <v>30000</v>
      </c>
      <c r="G7" s="201">
        <f t="shared" si="0"/>
        <v>-0.25</v>
      </c>
      <c r="H7" s="201">
        <f t="shared" si="1"/>
        <v>-0.49276342486135538</v>
      </c>
    </row>
    <row r="8" spans="1:9">
      <c r="A8" s="105" t="s">
        <v>271</v>
      </c>
      <c r="B8" s="105" t="s">
        <v>272</v>
      </c>
      <c r="C8" s="106">
        <f>Rozpis_Příjmy!BO35</f>
        <v>1228300</v>
      </c>
      <c r="D8" s="106">
        <f>Rozpis_Příjmy!CN35</f>
        <v>1377347.88</v>
      </c>
      <c r="E8" s="106">
        <f>Rozpis_Příjmy!CP35</f>
        <v>1377347.92</v>
      </c>
      <c r="F8" s="106">
        <f>Rozpis_Příjmy!CR35</f>
        <v>365188.89</v>
      </c>
      <c r="G8" s="201">
        <f t="shared" si="0"/>
        <v>-0.7026875437596678</v>
      </c>
      <c r="H8" s="201">
        <f t="shared" si="1"/>
        <v>-0.73486082586889157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G9" s="202">
        <f t="shared" si="0"/>
        <v>-2.3605232775966156E-2</v>
      </c>
      <c r="H9" s="203">
        <f t="shared" si="1"/>
        <v>-7.362363556522733E-2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Rozpis_Výdaje!BM350</f>
        <v>7195600</v>
      </c>
      <c r="D12" s="106">
        <f>Rozpis_Výdaje!CY350</f>
        <v>7479854.8899999997</v>
      </c>
      <c r="E12" s="106">
        <f>Rozpis_Výdaje!DA350</f>
        <v>7594747.4400000004</v>
      </c>
      <c r="F12" s="106">
        <f>Rozpis_Výdaje!DC350</f>
        <v>6251689.0999999996</v>
      </c>
      <c r="G12" s="201">
        <f t="shared" ref="G12:G14" si="2">F12/C12-1</f>
        <v>-0.13117890099505258</v>
      </c>
      <c r="H12" s="201">
        <f t="shared" si="1"/>
        <v>-0.17684042170071168</v>
      </c>
    </row>
    <row r="13" spans="1:9">
      <c r="A13" s="105" t="s">
        <v>276</v>
      </c>
      <c r="B13" s="105" t="s">
        <v>277</v>
      </c>
      <c r="C13" s="106">
        <f>Rozpis_Výdaje!BM353</f>
        <v>2057900</v>
      </c>
      <c r="D13" s="106">
        <f>Rozpis_Výdaje!CY353</f>
        <v>2482600</v>
      </c>
      <c r="E13" s="106">
        <f>Rozpis_Výdaje!DA353</f>
        <v>2481231</v>
      </c>
      <c r="F13" s="106">
        <f>Rozpis_Výdaje!DC353</f>
        <v>539700</v>
      </c>
      <c r="G13" s="201">
        <f t="shared" si="2"/>
        <v>-0.73774235871519511</v>
      </c>
      <c r="H13" s="201">
        <f t="shared" si="1"/>
        <v>-0.78248699939667044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G14" s="202">
        <f t="shared" si="2"/>
        <v>-0.26607347490138866</v>
      </c>
      <c r="H14" s="203">
        <f t="shared" si="1"/>
        <v>-0.32598217230802262</v>
      </c>
    </row>
    <row r="16" spans="1:9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G16" s="205"/>
    </row>
    <row r="17" spans="1:8">
      <c r="G17" s="205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205"/>
    </row>
    <row r="19" spans="1:8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G19" s="205"/>
    </row>
    <row r="20" spans="1:8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G20" s="205"/>
    </row>
    <row r="21" spans="1:8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G21" s="205"/>
    </row>
    <row r="22" spans="1:8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G22" s="205"/>
    </row>
    <row r="23" spans="1:8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3">SUM(D19:D22)</f>
        <v>2161967</v>
      </c>
      <c r="E23" s="116">
        <f t="shared" si="3"/>
        <v>2480374</v>
      </c>
      <c r="F23" s="116">
        <f>F19+F21+F22+F20</f>
        <v>-245000</v>
      </c>
      <c r="G23" s="205"/>
      <c r="H23" s="208"/>
    </row>
    <row r="25" spans="1:8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</row>
    <row r="26" spans="1:8">
      <c r="D26" s="105" t="s">
        <v>457</v>
      </c>
    </row>
    <row r="27" spans="1:8">
      <c r="A27" s="105" t="s">
        <v>597</v>
      </c>
    </row>
    <row r="29" spans="1:8">
      <c r="A29" s="104" t="s">
        <v>596</v>
      </c>
      <c r="B29" s="132"/>
      <c r="E29" s="219" t="s">
        <v>461</v>
      </c>
    </row>
    <row r="30" spans="1:8">
      <c r="A30" s="104"/>
      <c r="E30" s="219" t="s">
        <v>462</v>
      </c>
    </row>
    <row r="31" spans="1:8">
      <c r="A31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4"/>
  <sheetViews>
    <sheetView workbookViewId="0"/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</cols>
  <sheetData>
    <row r="1" spans="1:7" ht="23.25">
      <c r="A1" s="335" t="s">
        <v>383</v>
      </c>
      <c r="B1" s="336"/>
      <c r="C1" s="336"/>
      <c r="D1" s="336"/>
      <c r="E1" s="335"/>
      <c r="F1" s="335"/>
      <c r="G1" s="334"/>
    </row>
    <row r="2" spans="1:7" ht="23.25">
      <c r="A2" s="460" t="s">
        <v>566</v>
      </c>
      <c r="B2" s="460"/>
      <c r="C2" s="460"/>
      <c r="D2" s="460"/>
      <c r="E2" s="460"/>
      <c r="F2" s="460"/>
    </row>
    <row r="3" spans="1:7" ht="15.75" thickBot="1"/>
    <row r="4" spans="1:7" ht="15.75">
      <c r="A4" s="454"/>
      <c r="B4" s="456" t="s">
        <v>260</v>
      </c>
      <c r="C4" s="364" t="s">
        <v>590</v>
      </c>
      <c r="D4" s="364" t="s">
        <v>591</v>
      </c>
      <c r="E4" s="462" t="s">
        <v>384</v>
      </c>
      <c r="F4" s="463"/>
    </row>
    <row r="5" spans="1:7" ht="16.5" thickBot="1">
      <c r="A5" s="455"/>
      <c r="B5" s="457"/>
      <c r="C5" s="365">
        <v>2022</v>
      </c>
      <c r="D5" s="365">
        <v>2023</v>
      </c>
      <c r="E5" s="216">
        <v>2024</v>
      </c>
      <c r="F5" s="88">
        <v>2025</v>
      </c>
    </row>
    <row r="6" spans="1:7">
      <c r="A6" s="89" t="s">
        <v>364</v>
      </c>
      <c r="B6" s="356" t="s">
        <v>365</v>
      </c>
      <c r="C6" s="352">
        <f>ROZPOČET23návrh!E5</f>
        <v>5723404.6900000004</v>
      </c>
      <c r="D6" s="352">
        <f>ROZPOČET23návrh!F5</f>
        <v>6126400</v>
      </c>
      <c r="E6" s="91">
        <v>6300000</v>
      </c>
      <c r="F6" s="92">
        <v>6600000</v>
      </c>
    </row>
    <row r="7" spans="1:7">
      <c r="A7" s="93" t="s">
        <v>366</v>
      </c>
      <c r="B7" s="357" t="s">
        <v>367</v>
      </c>
      <c r="C7" s="352">
        <f>ROZPOČET23návrh!E6</f>
        <v>435708.33</v>
      </c>
      <c r="D7" s="352">
        <f>ROZPOČET23návrh!F6</f>
        <v>514800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352">
        <f>ROZPOČET23návrh!E7</f>
        <v>59144</v>
      </c>
      <c r="D8" s="352">
        <f>ROZPOČET23návrh!F7</f>
        <v>30000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352">
        <f>ROZPOČET23návrh!E8</f>
        <v>1377347.92</v>
      </c>
      <c r="D9" s="352">
        <f>ROZPOČET23návrh!F8</f>
        <v>365188.89</v>
      </c>
      <c r="E9" s="98">
        <v>88000</v>
      </c>
      <c r="F9" s="99">
        <v>90000</v>
      </c>
    </row>
    <row r="10" spans="1:7" ht="17.25" thickTop="1" thickBot="1">
      <c r="A10" s="100"/>
      <c r="B10" s="359" t="s">
        <v>372</v>
      </c>
      <c r="C10" s="353">
        <f>SUM(C6:C9)</f>
        <v>7595604.9400000004</v>
      </c>
      <c r="D10" s="102">
        <f>SUM(D6:D9)</f>
        <v>7036388.8899999997</v>
      </c>
      <c r="E10" s="101">
        <f>SUM(E6:E9)</f>
        <v>6938000</v>
      </c>
      <c r="F10" s="102">
        <f>SUM(F6:F9)</f>
        <v>7240000</v>
      </c>
    </row>
    <row r="11" spans="1:7" ht="15.75" thickTop="1">
      <c r="A11" s="89" t="s">
        <v>373</v>
      </c>
      <c r="B11" s="356" t="s">
        <v>374</v>
      </c>
      <c r="C11" s="352">
        <f>ROZPOČET23návrh!E12</f>
        <v>7594747.4400000004</v>
      </c>
      <c r="D11" s="352">
        <f>ROZPOČET23návrh!F12</f>
        <v>6251689.0999999996</v>
      </c>
      <c r="E11" s="91">
        <f>5758000+435000</f>
        <v>6193000</v>
      </c>
      <c r="F11" s="92">
        <f>267000+5758000</f>
        <v>6025000</v>
      </c>
    </row>
    <row r="12" spans="1:7" ht="15.75" thickBot="1">
      <c r="A12" s="96" t="s">
        <v>375</v>
      </c>
      <c r="B12" s="358" t="s">
        <v>376</v>
      </c>
      <c r="C12" s="352">
        <f>ROZPOČET23návrh!E13</f>
        <v>2481231</v>
      </c>
      <c r="D12" s="352">
        <f>ROZPOČET23návrh!F13</f>
        <v>539700</v>
      </c>
      <c r="E12" s="98">
        <v>500000</v>
      </c>
      <c r="F12" s="99">
        <v>970000</v>
      </c>
    </row>
    <row r="13" spans="1:7" ht="17.25" thickTop="1" thickBot="1">
      <c r="A13" s="100"/>
      <c r="B13" s="359" t="s">
        <v>377</v>
      </c>
      <c r="C13" s="353">
        <f>SUM(C11:C12)</f>
        <v>10075978.440000001</v>
      </c>
      <c r="D13" s="102">
        <f>SUM(D11:D12)</f>
        <v>6791389.0999999996</v>
      </c>
      <c r="E13" s="101">
        <f>SUM(E11:E12)</f>
        <v>6693000</v>
      </c>
      <c r="F13" s="102">
        <f>SUM(F11:F12)</f>
        <v>6995000</v>
      </c>
    </row>
    <row r="14" spans="1:7" ht="15.75" thickTop="1">
      <c r="A14" s="89" t="s">
        <v>378</v>
      </c>
      <c r="B14" s="356" t="s">
        <v>379</v>
      </c>
      <c r="C14" s="352">
        <f>ROZPOČET23návrh!E19+ROZPOČET23návrh!E21</f>
        <v>2600746</v>
      </c>
      <c r="D14" s="351"/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61">
        <f>ROZPOČET23návrh!E22</f>
        <v>-120372</v>
      </c>
      <c r="D15" s="361">
        <f>ROZPOČET23návrh!F22</f>
        <v>-245000</v>
      </c>
      <c r="E15" s="91">
        <v>-245000</v>
      </c>
      <c r="F15" s="92">
        <v>-245000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-120372</v>
      </c>
      <c r="D16" s="102">
        <f>SUM(D15:D15)</f>
        <v>-245000</v>
      </c>
      <c r="E16" s="102">
        <f>SUM(E15:E15)</f>
        <v>-245000</v>
      </c>
      <c r="F16" s="102">
        <f>SUM(F15:F15)</f>
        <v>-245000</v>
      </c>
    </row>
    <row r="17" spans="1:6" ht="17.25" thickTop="1" thickBot="1">
      <c r="A17" s="103"/>
      <c r="B17" s="360" t="s">
        <v>381</v>
      </c>
      <c r="C17" s="355">
        <f>C10+C16-C13+C14</f>
        <v>0.49999999906867743</v>
      </c>
      <c r="D17" s="355">
        <f t="shared" ref="D17:F17" si="0">D10+D16-D13+D14</f>
        <v>-0.2099999999627471</v>
      </c>
      <c r="E17" s="355">
        <f>E10+E16-E13+E14</f>
        <v>0</v>
      </c>
      <c r="F17" s="355">
        <f t="shared" si="0"/>
        <v>0</v>
      </c>
    </row>
    <row r="19" spans="1:6">
      <c r="A19" s="104"/>
    </row>
    <row r="20" spans="1:6">
      <c r="A20" s="104"/>
    </row>
    <row r="21" spans="1:6">
      <c r="A21" s="104"/>
    </row>
    <row r="22" spans="1:6" ht="15.75">
      <c r="A22" s="104" t="s">
        <v>593</v>
      </c>
      <c r="E22" s="131"/>
      <c r="F22" s="219" t="s">
        <v>461</v>
      </c>
    </row>
    <row r="23" spans="1:6" ht="15.75">
      <c r="A23" s="104"/>
      <c r="F23" s="219" t="s">
        <v>462</v>
      </c>
    </row>
    <row r="24" spans="1:6">
      <c r="A24" s="104" t="s">
        <v>382</v>
      </c>
    </row>
  </sheetData>
  <mergeCells count="4">
    <mergeCell ref="E4:F4"/>
    <mergeCell ref="A2:F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A36E7-C0B4-4F1D-BA3E-0A83ED1904AD}">
  <sheetPr>
    <tabColor theme="9" tint="-0.249977111117893"/>
  </sheetPr>
  <dimension ref="A1:G28"/>
  <sheetViews>
    <sheetView workbookViewId="0">
      <selection activeCell="H18" sqref="H18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52" t="s">
        <v>734</v>
      </c>
      <c r="B1" s="452"/>
      <c r="C1" s="452"/>
      <c r="D1" s="452"/>
      <c r="E1" s="452"/>
      <c r="F1" s="452"/>
      <c r="G1" s="334"/>
    </row>
    <row r="2" spans="1:7" ht="16.5">
      <c r="A2" s="453" t="s">
        <v>735</v>
      </c>
      <c r="B2" s="453"/>
      <c r="C2" s="453"/>
      <c r="D2" s="453"/>
      <c r="E2" s="453"/>
      <c r="F2" s="453"/>
    </row>
    <row r="3" spans="1:7" ht="15.75" thickBot="1"/>
    <row r="4" spans="1:7" ht="33.75" customHeight="1">
      <c r="A4" s="454"/>
      <c r="B4" s="456" t="s">
        <v>260</v>
      </c>
      <c r="C4" s="450" t="s">
        <v>590</v>
      </c>
      <c r="D4" s="451" t="s">
        <v>591</v>
      </c>
      <c r="E4" s="458" t="s">
        <v>740</v>
      </c>
      <c r="F4" s="459"/>
    </row>
    <row r="5" spans="1:7" ht="16.5" thickBot="1">
      <c r="A5" s="455"/>
      <c r="B5" s="457"/>
      <c r="C5" s="216">
        <v>2025</v>
      </c>
      <c r="D5" s="365">
        <v>2026</v>
      </c>
      <c r="E5" s="216">
        <v>2027</v>
      </c>
      <c r="F5" s="88">
        <v>2028</v>
      </c>
    </row>
    <row r="6" spans="1:7">
      <c r="A6" s="89" t="s">
        <v>364</v>
      </c>
      <c r="B6" s="356" t="s">
        <v>365</v>
      </c>
      <c r="C6" s="375">
        <f>RO_26!E5</f>
        <v>6888927.5600000005</v>
      </c>
      <c r="D6" s="352">
        <f>RO_26!F5</f>
        <v>6958800</v>
      </c>
      <c r="E6" s="92">
        <v>7150000</v>
      </c>
      <c r="F6" s="92">
        <v>7350000</v>
      </c>
    </row>
    <row r="7" spans="1:7">
      <c r="A7" s="93" t="s">
        <v>366</v>
      </c>
      <c r="B7" s="357" t="s">
        <v>367</v>
      </c>
      <c r="C7" s="91">
        <f>RO_26!E6</f>
        <v>869676.8600000001</v>
      </c>
      <c r="D7" s="352">
        <f>RO_26!F6</f>
        <v>909000</v>
      </c>
      <c r="E7" s="217">
        <v>1500000</v>
      </c>
      <c r="F7" s="217">
        <v>1500000</v>
      </c>
    </row>
    <row r="8" spans="1:7">
      <c r="A8" s="93" t="s">
        <v>368</v>
      </c>
      <c r="B8" s="357" t="s">
        <v>369</v>
      </c>
      <c r="C8" s="91">
        <f>RO_26!E7</f>
        <v>85351</v>
      </c>
      <c r="D8" s="352">
        <f>RO_26!F7</f>
        <v>22500</v>
      </c>
      <c r="E8" s="217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RO_26!E8</f>
        <v>7478873.5599999996</v>
      </c>
      <c r="D9" s="352">
        <f>RO_26!F8</f>
        <v>10872504.27</v>
      </c>
      <c r="E9" s="99">
        <v>83000</v>
      </c>
      <c r="F9" s="99">
        <v>85000</v>
      </c>
    </row>
    <row r="10" spans="1:7" ht="17.25" thickTop="1" thickBot="1">
      <c r="A10" s="100"/>
      <c r="B10" s="359" t="s">
        <v>372</v>
      </c>
      <c r="C10" s="101">
        <f>SUM(C6:C9)</f>
        <v>15322828.98</v>
      </c>
      <c r="D10" s="354">
        <f>SUM(D6:D9)</f>
        <v>18762804.27</v>
      </c>
      <c r="E10" s="101">
        <f>SUM(E6:E9)</f>
        <v>8783000</v>
      </c>
      <c r="F10" s="102">
        <f>SUM(F6:F9)</f>
        <v>8985000</v>
      </c>
    </row>
    <row r="11" spans="1:7" ht="15.75" thickTop="1">
      <c r="A11" s="89" t="s">
        <v>373</v>
      </c>
      <c r="B11" s="356" t="s">
        <v>374</v>
      </c>
      <c r="C11" s="91">
        <f>RO_26!E12</f>
        <v>5693416.6100000003</v>
      </c>
      <c r="D11" s="352">
        <f>RO_26!F12</f>
        <v>9160974</v>
      </c>
      <c r="E11" s="91">
        <v>8242000</v>
      </c>
      <c r="F11" s="92">
        <v>8444000</v>
      </c>
    </row>
    <row r="12" spans="1:7" ht="15.75" thickBot="1">
      <c r="A12" s="96" t="s">
        <v>375</v>
      </c>
      <c r="B12" s="358" t="s">
        <v>376</v>
      </c>
      <c r="C12" s="91">
        <f>RO_26!E13</f>
        <v>13726506.869999999</v>
      </c>
      <c r="D12" s="352">
        <f>RO_26!F13</f>
        <v>4260829.9117000001</v>
      </c>
      <c r="E12" s="98">
        <v>300000</v>
      </c>
      <c r="F12" s="99">
        <v>300000</v>
      </c>
    </row>
    <row r="13" spans="1:7" ht="17.25" thickTop="1" thickBot="1">
      <c r="A13" s="100"/>
      <c r="B13" s="359" t="s">
        <v>377</v>
      </c>
      <c r="C13" s="101">
        <f>SUM(C11:C12)</f>
        <v>19419923.48</v>
      </c>
      <c r="D13" s="354">
        <f>SUM(D11:D12)</f>
        <v>13421803.911699999</v>
      </c>
      <c r="E13" s="101">
        <f>SUM(E11:E12)</f>
        <v>8542000</v>
      </c>
      <c r="F13" s="102">
        <f>SUM(F11:F12)</f>
        <v>8744000</v>
      </c>
    </row>
    <row r="14" spans="1:7" ht="15.75" thickTop="1">
      <c r="A14" s="89" t="s">
        <v>378</v>
      </c>
      <c r="B14" s="356" t="s">
        <v>379</v>
      </c>
      <c r="C14" s="425">
        <f>RO_26!E21+RO_26!E25+RO_26!E22+RO_26!E19</f>
        <v>10437838.52</v>
      </c>
      <c r="D14" s="425">
        <f>RO_26!F21+RO_26!F25+RO_26!F22+RO_26!F19</f>
        <v>3434350</v>
      </c>
      <c r="E14" s="215"/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RO_26!E26+RO_26!E20</f>
        <v>-6340744</v>
      </c>
      <c r="D15" s="376">
        <f>RO_26!F26+RO_26!F20</f>
        <v>-8775350</v>
      </c>
      <c r="E15" s="91">
        <v>-241000</v>
      </c>
      <c r="F15" s="92">
        <v>-241000</v>
      </c>
    </row>
    <row r="16" spans="1:7" ht="17.25" thickTop="1" thickBot="1">
      <c r="A16" s="100"/>
      <c r="B16" s="359" t="s">
        <v>380</v>
      </c>
      <c r="C16" s="354">
        <f>SUM(C15:C15)</f>
        <v>-6340744</v>
      </c>
      <c r="D16" s="102">
        <f>SUM(D15:D15)</f>
        <v>-8775350</v>
      </c>
      <c r="E16" s="102">
        <f>SUM(E15:E15)</f>
        <v>-241000</v>
      </c>
      <c r="F16" s="102">
        <f>SUM(F15:F15)</f>
        <v>-241000</v>
      </c>
    </row>
    <row r="17" spans="1:6" ht="17.25" thickTop="1" thickBot="1">
      <c r="A17" s="103"/>
      <c r="B17" s="360" t="s">
        <v>381</v>
      </c>
      <c r="C17" s="355">
        <f>C10+C16-C13+C14</f>
        <v>1.9999999552965164E-2</v>
      </c>
      <c r="D17" s="355">
        <f>D10+D16-D13+D14</f>
        <v>0.35830000042915344</v>
      </c>
      <c r="E17" s="355">
        <f>E10+E16-E13+E14</f>
        <v>0</v>
      </c>
      <c r="F17" s="355">
        <f t="shared" ref="F17" si="0">F10+F16-F13+F14</f>
        <v>0</v>
      </c>
    </row>
    <row r="18" spans="1:6" ht="15.75">
      <c r="A18" s="421"/>
      <c r="B18" s="422"/>
      <c r="C18" s="423"/>
      <c r="D18" s="423"/>
      <c r="E18" s="423"/>
      <c r="F18" s="423"/>
    </row>
    <row r="19" spans="1:6">
      <c r="A19" t="s">
        <v>687</v>
      </c>
    </row>
    <row r="20" spans="1:6">
      <c r="A20" t="s">
        <v>688</v>
      </c>
    </row>
    <row r="21" spans="1:6">
      <c r="A21" t="s">
        <v>741</v>
      </c>
    </row>
    <row r="22" spans="1:6">
      <c r="E22" t="s">
        <v>694</v>
      </c>
    </row>
    <row r="23" spans="1:6">
      <c r="A23" s="104"/>
    </row>
    <row r="24" spans="1:6">
      <c r="A24" s="104"/>
    </row>
    <row r="25" spans="1:6">
      <c r="A25" s="104" t="s">
        <v>736</v>
      </c>
    </row>
    <row r="26" spans="1:6" ht="28.5" customHeight="1">
      <c r="A26" s="104"/>
    </row>
    <row r="27" spans="1:6" ht="15.75">
      <c r="A27" s="104" t="s">
        <v>382</v>
      </c>
      <c r="E27" s="105" t="s">
        <v>461</v>
      </c>
    </row>
    <row r="28" spans="1:6" ht="15.75">
      <c r="E28" s="219" t="s">
        <v>462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4BE8-D8AE-4ED7-BAEF-D363E85937D8}">
  <sheetPr>
    <tabColor theme="9" tint="-0.249977111117893"/>
  </sheetPr>
  <dimension ref="A1:G28"/>
  <sheetViews>
    <sheetView workbookViewId="0">
      <selection activeCell="E8" sqref="E8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52" t="s">
        <v>465</v>
      </c>
      <c r="B1" s="452"/>
      <c r="C1" s="452"/>
      <c r="D1" s="452"/>
      <c r="E1" s="452"/>
      <c r="F1" s="452"/>
      <c r="G1" s="334"/>
    </row>
    <row r="2" spans="1:7" ht="16.5">
      <c r="A2" s="453" t="s">
        <v>686</v>
      </c>
      <c r="B2" s="453"/>
      <c r="C2" s="453"/>
      <c r="D2" s="453"/>
      <c r="E2" s="453"/>
      <c r="F2" s="453"/>
    </row>
    <row r="3" spans="1:7" ht="15.75" thickBot="1"/>
    <row r="4" spans="1:7" ht="15.75">
      <c r="A4" s="454"/>
      <c r="B4" s="456" t="s">
        <v>260</v>
      </c>
      <c r="C4" s="404" t="s">
        <v>590</v>
      </c>
      <c r="D4" s="405" t="s">
        <v>598</v>
      </c>
      <c r="E4" s="462" t="s">
        <v>599</v>
      </c>
      <c r="F4" s="463"/>
    </row>
    <row r="5" spans="1:7" ht="16.5" thickBot="1">
      <c r="A5" s="455"/>
      <c r="B5" s="457"/>
      <c r="C5" s="216">
        <v>2024</v>
      </c>
      <c r="D5" s="365">
        <v>2025</v>
      </c>
      <c r="E5" s="216">
        <v>2026</v>
      </c>
      <c r="F5" s="88">
        <v>2027</v>
      </c>
    </row>
    <row r="6" spans="1:7">
      <c r="A6" s="89" t="s">
        <v>364</v>
      </c>
      <c r="B6" s="356" t="s">
        <v>365</v>
      </c>
      <c r="C6" s="375">
        <f>RO_26!E5</f>
        <v>6888927.5600000005</v>
      </c>
      <c r="D6" s="352">
        <f>RO_26!F5</f>
        <v>6958800</v>
      </c>
      <c r="E6" s="92">
        <v>7100000</v>
      </c>
      <c r="F6" s="92">
        <v>7400000</v>
      </c>
    </row>
    <row r="7" spans="1:7">
      <c r="A7" s="93" t="s">
        <v>366</v>
      </c>
      <c r="B7" s="357" t="s">
        <v>367</v>
      </c>
      <c r="C7" s="91">
        <f>RO_26!E6</f>
        <v>869676.8600000001</v>
      </c>
      <c r="D7" s="352">
        <f>RO_26!F6</f>
        <v>909000</v>
      </c>
      <c r="E7" s="217">
        <v>1100000</v>
      </c>
      <c r="F7" s="217">
        <v>500000</v>
      </c>
    </row>
    <row r="8" spans="1:7">
      <c r="A8" s="93" t="s">
        <v>368</v>
      </c>
      <c r="B8" s="357" t="s">
        <v>369</v>
      </c>
      <c r="C8" s="91">
        <f>RO_26!E7</f>
        <v>85351</v>
      </c>
      <c r="D8" s="352">
        <f>RO_26!F7</f>
        <v>22500</v>
      </c>
      <c r="E8" s="217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RO_26!E8</f>
        <v>7478873.5599999996</v>
      </c>
      <c r="D9" s="352">
        <f>RO_26!F8</f>
        <v>10872504.27</v>
      </c>
      <c r="E9" s="99">
        <v>80000</v>
      </c>
      <c r="F9" s="99">
        <v>80000</v>
      </c>
    </row>
    <row r="10" spans="1:7" ht="17.25" thickTop="1" thickBot="1">
      <c r="A10" s="100"/>
      <c r="B10" s="359" t="s">
        <v>372</v>
      </c>
      <c r="C10" s="101">
        <f>SUM(C6:C9)</f>
        <v>15322828.98</v>
      </c>
      <c r="D10" s="354">
        <f>SUM(D6:D9)</f>
        <v>18762804.27</v>
      </c>
      <c r="E10" s="101">
        <f>SUM(E6:E9)</f>
        <v>8330000</v>
      </c>
      <c r="F10" s="102">
        <f>SUM(F6:F9)</f>
        <v>8030000</v>
      </c>
    </row>
    <row r="11" spans="1:7" ht="15.75" thickTop="1">
      <c r="A11" s="89" t="s">
        <v>373</v>
      </c>
      <c r="B11" s="356" t="s">
        <v>374</v>
      </c>
      <c r="C11" s="91">
        <f>RO_26!E12</f>
        <v>5693416.6100000003</v>
      </c>
      <c r="D11" s="352">
        <f>RO_26!F12</f>
        <v>9160974</v>
      </c>
      <c r="E11" s="91">
        <v>8400000</v>
      </c>
      <c r="F11" s="92">
        <v>6489000</v>
      </c>
    </row>
    <row r="12" spans="1:7" ht="15.75" thickBot="1">
      <c r="A12" s="96" t="s">
        <v>375</v>
      </c>
      <c r="B12" s="358" t="s">
        <v>376</v>
      </c>
      <c r="C12" s="91">
        <f>RO_26!E13</f>
        <v>13726506.869999999</v>
      </c>
      <c r="D12" s="352">
        <f>RO_26!F13</f>
        <v>4260829.9117000001</v>
      </c>
      <c r="E12" s="98">
        <v>19089000</v>
      </c>
      <c r="F12" s="99">
        <v>300000</v>
      </c>
    </row>
    <row r="13" spans="1:7" ht="17.25" thickTop="1" thickBot="1">
      <c r="A13" s="100"/>
      <c r="B13" s="359" t="s">
        <v>377</v>
      </c>
      <c r="C13" s="101">
        <f>SUM(C11:C12)</f>
        <v>19419923.48</v>
      </c>
      <c r="D13" s="354">
        <f>SUM(D11:D12)</f>
        <v>13421803.911699999</v>
      </c>
      <c r="E13" s="101">
        <f>SUM(E11:E12)</f>
        <v>27489000</v>
      </c>
      <c r="F13" s="102">
        <f>SUM(F11:F12)</f>
        <v>6789000</v>
      </c>
    </row>
    <row r="14" spans="1:7" ht="15.75" thickTop="1">
      <c r="A14" s="89" t="s">
        <v>378</v>
      </c>
      <c r="B14" s="356" t="s">
        <v>379</v>
      </c>
      <c r="C14" s="425">
        <f>RO_26!E21+RO_26!E25+RO_26!E22</f>
        <v>-512161.48</v>
      </c>
      <c r="D14" s="352">
        <f>RO_26!F21+RO_26!F25+RO_26!F22</f>
        <v>-250000</v>
      </c>
      <c r="E14" s="215">
        <v>20000000</v>
      </c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RO_26!E26</f>
        <v>-240744</v>
      </c>
      <c r="D15" s="361">
        <f>RO_26!F26</f>
        <v>-8775350</v>
      </c>
      <c r="E15" s="91">
        <v>-241000</v>
      </c>
      <c r="F15" s="92">
        <v>-1241000</v>
      </c>
    </row>
    <row r="16" spans="1:7" ht="17.25" thickTop="1" thickBot="1">
      <c r="A16" s="100"/>
      <c r="B16" s="359" t="s">
        <v>380</v>
      </c>
      <c r="C16" s="354">
        <f>SUM(C15:C15)</f>
        <v>-240744</v>
      </c>
      <c r="D16" s="102">
        <f>SUM(D15:D15)</f>
        <v>-8775350</v>
      </c>
      <c r="E16" s="102">
        <f>SUM(E15:E15)</f>
        <v>-241000</v>
      </c>
      <c r="F16" s="102">
        <f>SUM(F15:F15)</f>
        <v>-1241000</v>
      </c>
    </row>
    <row r="17" spans="1:6" ht="17.25" thickTop="1" thickBot="1">
      <c r="A17" s="103"/>
      <c r="B17" s="360" t="s">
        <v>381</v>
      </c>
      <c r="C17" s="355">
        <f>C10+C16-C13+C14</f>
        <v>-4849999.9800000004</v>
      </c>
      <c r="D17" s="355">
        <f>D10+D16-D13+D14</f>
        <v>-3684349.6416999996</v>
      </c>
      <c r="E17" s="355">
        <f>E10+E16-E13+E14</f>
        <v>600000</v>
      </c>
      <c r="F17" s="355">
        <f t="shared" ref="F17" si="0">F10+F16-F13+F14</f>
        <v>0</v>
      </c>
    </row>
    <row r="18" spans="1:6" ht="15.75">
      <c r="A18" s="421"/>
      <c r="B18" s="422"/>
      <c r="C18" s="423"/>
      <c r="D18" s="423"/>
      <c r="E18" s="423"/>
      <c r="F18" s="423"/>
    </row>
    <row r="19" spans="1:6">
      <c r="A19" t="s">
        <v>687</v>
      </c>
    </row>
    <row r="20" spans="1:6">
      <c r="A20" t="s">
        <v>688</v>
      </c>
    </row>
    <row r="21" spans="1:6">
      <c r="A21" t="s">
        <v>695</v>
      </c>
    </row>
    <row r="22" spans="1:6">
      <c r="E22" t="s">
        <v>694</v>
      </c>
    </row>
    <row r="23" spans="1:6">
      <c r="A23" s="104" t="s">
        <v>702</v>
      </c>
    </row>
    <row r="24" spans="1:6">
      <c r="A24" s="104"/>
    </row>
    <row r="25" spans="1:6">
      <c r="A25" s="104" t="s">
        <v>701</v>
      </c>
    </row>
    <row r="26" spans="1:6" ht="28.5" customHeight="1">
      <c r="A26" s="104"/>
    </row>
    <row r="27" spans="1:6" ht="15.75">
      <c r="A27" s="104" t="s">
        <v>382</v>
      </c>
      <c r="E27" s="105" t="s">
        <v>461</v>
      </c>
    </row>
    <row r="28" spans="1:6" ht="15.75">
      <c r="E28" s="219" t="s">
        <v>462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9440-6A26-4229-B6DC-7931A6A92F19}">
  <sheetPr>
    <tabColor theme="9" tint="-0.249977111117893"/>
  </sheetPr>
  <dimension ref="A1:G27"/>
  <sheetViews>
    <sheetView workbookViewId="0">
      <selection activeCell="H10" sqref="H10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52" t="s">
        <v>383</v>
      </c>
      <c r="B1" s="452"/>
      <c r="C1" s="452"/>
      <c r="D1" s="452"/>
      <c r="E1" s="452"/>
      <c r="F1" s="452"/>
      <c r="G1" s="334"/>
    </row>
    <row r="2" spans="1:7" ht="16.5">
      <c r="A2" s="453" t="s">
        <v>686</v>
      </c>
      <c r="B2" s="453"/>
      <c r="C2" s="453"/>
      <c r="D2" s="453"/>
      <c r="E2" s="453"/>
      <c r="F2" s="453"/>
    </row>
    <row r="3" spans="1:7" ht="15.75" thickBot="1"/>
    <row r="4" spans="1:7" ht="15.75">
      <c r="A4" s="454"/>
      <c r="B4" s="456" t="s">
        <v>260</v>
      </c>
      <c r="C4" s="404" t="s">
        <v>590</v>
      </c>
      <c r="D4" s="405" t="s">
        <v>598</v>
      </c>
      <c r="E4" s="462" t="s">
        <v>384</v>
      </c>
      <c r="F4" s="463"/>
    </row>
    <row r="5" spans="1:7" ht="16.5" thickBot="1">
      <c r="A5" s="455"/>
      <c r="B5" s="457"/>
      <c r="C5" s="216">
        <v>2024</v>
      </c>
      <c r="D5" s="365">
        <v>2025</v>
      </c>
      <c r="E5" s="216">
        <v>2026</v>
      </c>
      <c r="F5" s="88">
        <v>2027</v>
      </c>
    </row>
    <row r="6" spans="1:7">
      <c r="A6" s="89" t="s">
        <v>364</v>
      </c>
      <c r="B6" s="356" t="s">
        <v>365</v>
      </c>
      <c r="C6" s="375">
        <f>RO_26!E5</f>
        <v>6888927.5600000005</v>
      </c>
      <c r="D6" s="352">
        <f>RO_26!F5</f>
        <v>6958800</v>
      </c>
      <c r="E6" s="92">
        <v>7100000</v>
      </c>
      <c r="F6" s="92">
        <v>7400000</v>
      </c>
    </row>
    <row r="7" spans="1:7">
      <c r="A7" s="93" t="s">
        <v>366</v>
      </c>
      <c r="B7" s="357" t="s">
        <v>367</v>
      </c>
      <c r="C7" s="91">
        <f>RO_26!E6</f>
        <v>869676.8600000001</v>
      </c>
      <c r="D7" s="352">
        <f>RO_26!F6</f>
        <v>909000</v>
      </c>
      <c r="E7" s="217">
        <v>500000</v>
      </c>
      <c r="F7" s="217">
        <v>500000</v>
      </c>
    </row>
    <row r="8" spans="1:7">
      <c r="A8" s="93" t="s">
        <v>368</v>
      </c>
      <c r="B8" s="357" t="s">
        <v>369</v>
      </c>
      <c r="C8" s="91">
        <f>RO_26!E7</f>
        <v>85351</v>
      </c>
      <c r="D8" s="352">
        <f>RO_26!F7</f>
        <v>22500</v>
      </c>
      <c r="E8" s="217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RO_26!E8</f>
        <v>7478873.5599999996</v>
      </c>
      <c r="D9" s="352">
        <f>RO_26!F8</f>
        <v>10872504.27</v>
      </c>
      <c r="E9" s="99">
        <v>80000</v>
      </c>
      <c r="F9" s="99">
        <v>80000</v>
      </c>
    </row>
    <row r="10" spans="1:7" ht="17.25" thickTop="1" thickBot="1">
      <c r="A10" s="100"/>
      <c r="B10" s="359" t="s">
        <v>372</v>
      </c>
      <c r="C10" s="101">
        <f>SUM(C6:C9)</f>
        <v>15322828.98</v>
      </c>
      <c r="D10" s="354">
        <f>SUM(D6:D9)</f>
        <v>18762804.27</v>
      </c>
      <c r="E10" s="101">
        <f>SUM(E6:E9)</f>
        <v>7730000</v>
      </c>
      <c r="F10" s="102">
        <f>SUM(F6:F9)</f>
        <v>8030000</v>
      </c>
    </row>
    <row r="11" spans="1:7" ht="15.75" thickTop="1">
      <c r="A11" s="89" t="s">
        <v>373</v>
      </c>
      <c r="B11" s="356" t="s">
        <v>374</v>
      </c>
      <c r="C11" s="91">
        <f>RO_26!E12</f>
        <v>5693416.6100000003</v>
      </c>
      <c r="D11" s="352">
        <f>RO_26!F12</f>
        <v>9160974</v>
      </c>
      <c r="E11" s="91">
        <v>8400000</v>
      </c>
      <c r="F11" s="92">
        <v>6489000</v>
      </c>
    </row>
    <row r="12" spans="1:7" ht="15.75" thickBot="1">
      <c r="A12" s="96" t="s">
        <v>375</v>
      </c>
      <c r="B12" s="358" t="s">
        <v>376</v>
      </c>
      <c r="C12" s="91">
        <f>RO_26!E13</f>
        <v>13726506.869999999</v>
      </c>
      <c r="D12" s="352">
        <f>RO_26!F13</f>
        <v>4260829.9117000001</v>
      </c>
      <c r="E12" s="98">
        <v>19089000</v>
      </c>
      <c r="F12" s="99">
        <v>300000</v>
      </c>
    </row>
    <row r="13" spans="1:7" ht="17.25" thickTop="1" thickBot="1">
      <c r="A13" s="100"/>
      <c r="B13" s="359" t="s">
        <v>377</v>
      </c>
      <c r="C13" s="101">
        <f>SUM(C11:C12)</f>
        <v>19419923.48</v>
      </c>
      <c r="D13" s="354">
        <f>SUM(D11:D12)</f>
        <v>13421803.911699999</v>
      </c>
      <c r="E13" s="101">
        <f>SUM(E11:E12)</f>
        <v>27489000</v>
      </c>
      <c r="F13" s="102">
        <f>SUM(F11:F12)</f>
        <v>6789000</v>
      </c>
    </row>
    <row r="14" spans="1:7" ht="15.75" thickTop="1">
      <c r="A14" s="89" t="s">
        <v>378</v>
      </c>
      <c r="B14" s="356" t="s">
        <v>379</v>
      </c>
      <c r="C14" s="425">
        <f>RO_26!E21+RO_26!E25+RO_26!E22</f>
        <v>-512161.48</v>
      </c>
      <c r="D14" s="352">
        <f>RO_26!F21+RO_26!F25+RO_26!F22</f>
        <v>-250000</v>
      </c>
      <c r="E14" s="215">
        <v>20000000</v>
      </c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RO_26!E26</f>
        <v>-240744</v>
      </c>
      <c r="D15" s="361">
        <f>RO_26!F26</f>
        <v>-8775350</v>
      </c>
      <c r="E15" s="91">
        <v>-241000</v>
      </c>
      <c r="F15" s="92">
        <v>-1241000</v>
      </c>
    </row>
    <row r="16" spans="1:7" ht="17.25" thickTop="1" thickBot="1">
      <c r="A16" s="100"/>
      <c r="B16" s="359" t="s">
        <v>380</v>
      </c>
      <c r="C16" s="354">
        <f>SUM(C15:C15)</f>
        <v>-240744</v>
      </c>
      <c r="D16" s="102">
        <f>SUM(D15:D15)</f>
        <v>-8775350</v>
      </c>
      <c r="E16" s="102">
        <f>SUM(E15:E15)</f>
        <v>-241000</v>
      </c>
      <c r="F16" s="102">
        <f>SUM(F15:F15)</f>
        <v>-1241000</v>
      </c>
    </row>
    <row r="17" spans="1:6" ht="17.25" thickTop="1" thickBot="1">
      <c r="A17" s="103"/>
      <c r="B17" s="360" t="s">
        <v>381</v>
      </c>
      <c r="C17" s="355">
        <f>C10+C16-C13+C14</f>
        <v>-4849999.9800000004</v>
      </c>
      <c r="D17" s="355">
        <f>D10+D16-D13+D14</f>
        <v>-3684349.6416999996</v>
      </c>
      <c r="E17" s="355">
        <f>E10+E16-E13+E14</f>
        <v>0</v>
      </c>
      <c r="F17" s="355">
        <f t="shared" ref="F17" si="0">F10+F16-F13+F14</f>
        <v>0</v>
      </c>
    </row>
    <row r="18" spans="1:6" ht="15.75">
      <c r="A18" s="421"/>
      <c r="B18" s="422"/>
      <c r="C18" s="423"/>
      <c r="D18" s="423"/>
      <c r="E18" s="423"/>
      <c r="F18" s="423"/>
    </row>
    <row r="19" spans="1:6">
      <c r="A19" t="s">
        <v>687</v>
      </c>
    </row>
    <row r="20" spans="1:6">
      <c r="A20" t="s">
        <v>688</v>
      </c>
    </row>
    <row r="21" spans="1:6">
      <c r="A21" t="s">
        <v>695</v>
      </c>
    </row>
    <row r="22" spans="1:6">
      <c r="E22" t="s">
        <v>694</v>
      </c>
    </row>
    <row r="23" spans="1:6">
      <c r="A23" s="104"/>
    </row>
    <row r="24" spans="1:6">
      <c r="A24" s="104" t="s">
        <v>696</v>
      </c>
    </row>
    <row r="25" spans="1:6" ht="28.5" customHeight="1">
      <c r="A25" s="104"/>
    </row>
    <row r="26" spans="1:6" ht="15.75">
      <c r="A26" s="104" t="s">
        <v>382</v>
      </c>
      <c r="E26" s="105" t="s">
        <v>461</v>
      </c>
    </row>
    <row r="27" spans="1:6" ht="15.75">
      <c r="E27" s="219" t="s">
        <v>462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5"/>
  <sheetViews>
    <sheetView workbookViewId="0"/>
  </sheetViews>
  <sheetFormatPr defaultColWidth="9.140625" defaultRowHeight="15"/>
  <cols>
    <col min="1" max="1" width="29.7109375" style="105" customWidth="1"/>
    <col min="2" max="2" width="8.85546875" style="105" customWidth="1"/>
    <col min="3" max="3" width="14.85546875" style="105" customWidth="1"/>
    <col min="4" max="4" width="13.7109375" style="105" customWidth="1"/>
    <col min="5" max="5" width="14.7109375" style="105" customWidth="1"/>
    <col min="6" max="6" width="15.42578125" style="106" customWidth="1"/>
    <col min="7" max="7" width="1.7109375" style="105" customWidth="1"/>
    <col min="8" max="8" width="11" style="105" customWidth="1"/>
    <col min="9" max="9" width="12" style="105" customWidth="1"/>
    <col min="10" max="10" width="1.5703125" style="105" customWidth="1"/>
    <col min="11" max="11" width="10.7109375" style="105" customWidth="1"/>
    <col min="12" max="12" width="12.140625" style="105" customWidth="1"/>
    <col min="13" max="13" width="1.28515625" style="105" customWidth="1"/>
    <col min="14" max="14" width="11" style="105" customWidth="1"/>
    <col min="15" max="15" width="11.85546875" style="105" customWidth="1"/>
    <col min="16" max="16" width="1.140625" style="105" customWidth="1"/>
    <col min="17" max="16384" width="9.140625" style="105"/>
  </cols>
  <sheetData>
    <row r="2" spans="1:15" ht="23.25">
      <c r="A2" s="460" t="s">
        <v>464</v>
      </c>
      <c r="B2" s="460"/>
      <c r="C2" s="460"/>
      <c r="D2" s="460"/>
      <c r="E2" s="460"/>
      <c r="F2" s="460"/>
    </row>
    <row r="3" spans="1:15" s="104" customFormat="1" ht="33" customHeight="1">
      <c r="F3" s="226"/>
      <c r="H3" s="461" t="s">
        <v>469</v>
      </c>
      <c r="I3" s="461"/>
      <c r="K3" s="461" t="s">
        <v>478</v>
      </c>
      <c r="L3" s="461"/>
      <c r="N3" s="461" t="s">
        <v>482</v>
      </c>
      <c r="O3" s="461"/>
    </row>
    <row r="4" spans="1:15" ht="47.25">
      <c r="A4" s="111" t="s">
        <v>263</v>
      </c>
      <c r="B4" s="111" t="s">
        <v>5</v>
      </c>
      <c r="C4" s="112" t="s">
        <v>449</v>
      </c>
      <c r="D4" s="112" t="s">
        <v>451</v>
      </c>
      <c r="E4" s="112" t="s">
        <v>450</v>
      </c>
      <c r="F4" s="112" t="s">
        <v>471</v>
      </c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</row>
    <row r="5" spans="1:15">
      <c r="A5" s="105" t="s">
        <v>265</v>
      </c>
      <c r="B5" s="105" t="s">
        <v>266</v>
      </c>
      <c r="C5" s="106">
        <f>Rozpis_Příjmy!L22</f>
        <v>4972000</v>
      </c>
      <c r="D5" s="106">
        <f>Rozpis_Příjmy!AH22</f>
        <v>4661600</v>
      </c>
      <c r="E5" s="106">
        <f>Rozpis_Příjmy!AL22</f>
        <v>4655908.6900000004</v>
      </c>
      <c r="F5" s="106">
        <f>Rozpis_Příjmy!AN22</f>
        <v>4104000</v>
      </c>
      <c r="H5" s="106">
        <f>Rozpis_Příjmy!AZ22</f>
        <v>0</v>
      </c>
      <c r="I5" s="106">
        <f>Rozpis_Příjmy!BA22</f>
        <v>4104000</v>
      </c>
      <c r="K5" s="106">
        <f>Rozpis_Příjmy!BC22</f>
        <v>0</v>
      </c>
      <c r="L5" s="106">
        <f>Rozpis_Příjmy!BD22</f>
        <v>4104000</v>
      </c>
      <c r="N5" s="106">
        <f>Rozpis_Příjmy!BF22</f>
        <v>0</v>
      </c>
      <c r="O5" s="106">
        <f>Rozpis_Příjmy!BG22</f>
        <v>4104000</v>
      </c>
    </row>
    <row r="6" spans="1:15">
      <c r="A6" s="105" t="s">
        <v>267</v>
      </c>
      <c r="B6" s="105" t="s">
        <v>268</v>
      </c>
      <c r="C6" s="106">
        <f>Rozpis_Příjmy!L122</f>
        <v>241200</v>
      </c>
      <c r="D6" s="106">
        <f>Rozpis_Příjmy!AH122</f>
        <v>240800</v>
      </c>
      <c r="E6" s="106">
        <f>Rozpis_Příjmy!AL122</f>
        <v>219140.41</v>
      </c>
      <c r="F6" s="106">
        <f>Rozpis_Příjmy!AN122</f>
        <v>203000</v>
      </c>
      <c r="H6" s="106">
        <f>Rozpis_Příjmy!AZ122</f>
        <v>0</v>
      </c>
      <c r="I6" s="106">
        <f>Rozpis_Příjmy!BA122</f>
        <v>203000</v>
      </c>
      <c r="K6" s="106">
        <f>Rozpis_Příjmy!BC122</f>
        <v>0</v>
      </c>
      <c r="L6" s="106">
        <f>Rozpis_Příjmy!BD122</f>
        <v>203000</v>
      </c>
      <c r="N6" s="106">
        <f>Rozpis_Příjmy!BF122</f>
        <v>0</v>
      </c>
      <c r="O6" s="106">
        <f>Rozpis_Příjmy!BG122</f>
        <v>203000</v>
      </c>
    </row>
    <row r="7" spans="1:15">
      <c r="A7" s="105" t="s">
        <v>269</v>
      </c>
      <c r="B7" s="105" t="s">
        <v>270</v>
      </c>
      <c r="C7" s="106">
        <f>Rozpis_Příjmy!L99</f>
        <v>1000</v>
      </c>
      <c r="D7" s="106">
        <f>Rozpis_Příjmy!AH99</f>
        <v>28590</v>
      </c>
      <c r="E7" s="106">
        <f>Rozpis_Příjmy!AL99</f>
        <v>28557</v>
      </c>
      <c r="F7" s="106">
        <f>Rozpis_Příjmy!AN99</f>
        <v>1000</v>
      </c>
      <c r="H7" s="106">
        <f>Rozpis_Příjmy!AZ99</f>
        <v>0</v>
      </c>
      <c r="I7" s="106">
        <f>Rozpis_Příjmy!BA99</f>
        <v>1000</v>
      </c>
      <c r="K7" s="106">
        <f>Rozpis_Příjmy!BC99</f>
        <v>0</v>
      </c>
      <c r="L7" s="106">
        <f>Rozpis_Příjmy!BD99</f>
        <v>1000</v>
      </c>
      <c r="N7" s="106">
        <f>Rozpis_Příjmy!BF99</f>
        <v>0</v>
      </c>
      <c r="O7" s="106">
        <f>Rozpis_Příjmy!BG99</f>
        <v>1000</v>
      </c>
    </row>
    <row r="8" spans="1:15">
      <c r="A8" s="105" t="s">
        <v>271</v>
      </c>
      <c r="B8" s="105" t="s">
        <v>272</v>
      </c>
      <c r="C8" s="106">
        <f>Rozpis_Příjmy!L35</f>
        <v>76800</v>
      </c>
      <c r="D8" s="106">
        <f>Rozpis_Příjmy!AH35</f>
        <v>1304250</v>
      </c>
      <c r="E8" s="106">
        <f>Rozpis_Příjmy!AL35</f>
        <v>1296911</v>
      </c>
      <c r="F8" s="106">
        <f>Rozpis_Příjmy!AN35</f>
        <v>84000</v>
      </c>
      <c r="H8" s="106">
        <f>Rozpis_Příjmy!AZ35</f>
        <v>211541.07</v>
      </c>
      <c r="I8" s="106">
        <f>Rozpis_Příjmy!BA35</f>
        <v>295541.07</v>
      </c>
      <c r="K8" s="106">
        <f>Rozpis_Příjmy!BC35</f>
        <v>0</v>
      </c>
      <c r="L8" s="106">
        <f>Rozpis_Příjmy!BD35</f>
        <v>295541.07</v>
      </c>
      <c r="N8" s="106">
        <f>Rozpis_Příjmy!BF35</f>
        <v>49297.26</v>
      </c>
      <c r="O8" s="106">
        <f>Rozpis_Příjmy!BG35</f>
        <v>344838.33</v>
      </c>
    </row>
    <row r="9" spans="1:15" s="117" customFormat="1" ht="16.5" thickBot="1">
      <c r="A9" s="115" t="s">
        <v>261</v>
      </c>
      <c r="B9" s="115"/>
      <c r="C9" s="116">
        <f>SUM(C5:C8)</f>
        <v>5291000</v>
      </c>
      <c r="D9" s="116">
        <f>SUM(D5:D8)</f>
        <v>6235240</v>
      </c>
      <c r="E9" s="116">
        <f>SUM(E5:E8)</f>
        <v>6200517.1000000006</v>
      </c>
      <c r="F9" s="116">
        <f>SUM(F5:F8)</f>
        <v>4392000</v>
      </c>
      <c r="H9" s="116">
        <f>SUM(H5:H8)</f>
        <v>211541.07</v>
      </c>
      <c r="I9" s="116">
        <f>SUM(I5:I8)</f>
        <v>4603541.07</v>
      </c>
      <c r="K9" s="116">
        <f>SUM(K5:K8)</f>
        <v>0</v>
      </c>
      <c r="L9" s="116">
        <f>SUM(L5:L8)</f>
        <v>4603541.07</v>
      </c>
      <c r="N9" s="116">
        <f>SUM(N5:N8)</f>
        <v>49297.26</v>
      </c>
      <c r="O9" s="116">
        <f>SUM(O5:O8)</f>
        <v>4652838.33</v>
      </c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/>
      <c r="H11" s="221"/>
      <c r="I11" s="221"/>
      <c r="K11" s="221"/>
      <c r="L11" s="221"/>
      <c r="N11" s="221"/>
      <c r="O11" s="221"/>
    </row>
    <row r="12" spans="1:15">
      <c r="A12" s="105" t="s">
        <v>274</v>
      </c>
      <c r="B12" s="105" t="s">
        <v>275</v>
      </c>
      <c r="C12" s="106">
        <f>Rozpis_Výdaje!L350</f>
        <v>4309999.92</v>
      </c>
      <c r="D12" s="106">
        <f>Rozpis_Výdaje!AE350</f>
        <v>4954150</v>
      </c>
      <c r="E12" s="106">
        <f>Rozpis_Výdaje!AH350</f>
        <v>4665142.3800000008</v>
      </c>
      <c r="F12" s="106">
        <f>Rozpis_Výdaje!AK350</f>
        <v>4265000</v>
      </c>
      <c r="H12" s="106">
        <f>Rozpis_Výdaje!AR350</f>
        <v>100000</v>
      </c>
      <c r="I12" s="106">
        <f>Rozpis_Výdaje!AS350</f>
        <v>4365000</v>
      </c>
      <c r="K12" s="106">
        <f>Rozpis_Výdaje!AU350</f>
        <v>150300</v>
      </c>
      <c r="L12" s="106">
        <f>Rozpis_Výdaje!AV350</f>
        <v>4515300</v>
      </c>
      <c r="N12" s="106">
        <f>Rozpis_Výdaje!AX350</f>
        <v>49297.26</v>
      </c>
      <c r="O12" s="106">
        <f>Rozpis_Výdaje!AY350</f>
        <v>4564597.26</v>
      </c>
    </row>
    <row r="13" spans="1:15">
      <c r="A13" s="225" t="s">
        <v>458</v>
      </c>
      <c r="B13" s="105">
        <v>5171</v>
      </c>
      <c r="C13" s="106">
        <f>Rozpis_Výdaje!L351</f>
        <v>446000</v>
      </c>
      <c r="D13" s="106">
        <f>Rozpis_Výdaje!AE351</f>
        <v>935250</v>
      </c>
      <c r="E13" s="106">
        <f>Rozpis_Výdaje!AH351</f>
        <v>897748.58000000007</v>
      </c>
      <c r="F13" s="106">
        <f>Rozpis_Výdaje!AK351</f>
        <v>400000</v>
      </c>
      <c r="H13" s="106">
        <f>Rozpis_Výdaje!AR351</f>
        <v>0</v>
      </c>
      <c r="I13" s="106">
        <f>Rozpis_Výdaje!AS351</f>
        <v>400000</v>
      </c>
      <c r="K13" s="106">
        <f>Rozpis_Výdaje!AU351</f>
        <v>0</v>
      </c>
      <c r="L13" s="106">
        <f>Rozpis_Výdaje!AV351</f>
        <v>400000</v>
      </c>
      <c r="N13" s="106">
        <f>Rozpis_Výdaje!AX351</f>
        <v>49297.26</v>
      </c>
      <c r="O13" s="106">
        <f>Rozpis_Výdaje!AY351</f>
        <v>449297.26</v>
      </c>
    </row>
    <row r="14" spans="1:15">
      <c r="A14" s="105" t="s">
        <v>276</v>
      </c>
      <c r="B14" s="105" t="s">
        <v>277</v>
      </c>
      <c r="C14" s="106">
        <f>Rozpis_Výdaje!L353</f>
        <v>1760000</v>
      </c>
      <c r="D14" s="106">
        <f>Rozpis_Výdaje!AE353</f>
        <v>1365610</v>
      </c>
      <c r="E14" s="106">
        <f>Rozpis_Výdaje!AH353</f>
        <v>1363785.12</v>
      </c>
      <c r="F14" s="106">
        <f>Rozpis_Výdaje!AK353</f>
        <v>564000</v>
      </c>
      <c r="G14" s="105" t="s">
        <v>457</v>
      </c>
      <c r="H14" s="106">
        <f>Rozpis_Výdaje!AR353</f>
        <v>0</v>
      </c>
      <c r="I14" s="106">
        <f>Rozpis_Výdaje!AS353</f>
        <v>564000</v>
      </c>
      <c r="K14" s="106">
        <f>Rozpis_Výdaje!AU353</f>
        <v>0</v>
      </c>
      <c r="L14" s="106">
        <f>Rozpis_Výdaje!AV353</f>
        <v>564000</v>
      </c>
      <c r="N14" s="106">
        <f>Rozpis_Výdaje!AX353</f>
        <v>0</v>
      </c>
      <c r="O14" s="106">
        <f>Rozpis_Výdaje!AY353</f>
        <v>564000</v>
      </c>
    </row>
    <row r="15" spans="1:15" s="117" customFormat="1" ht="16.5" thickBot="1">
      <c r="A15" s="115" t="s">
        <v>262</v>
      </c>
      <c r="B15" s="115"/>
      <c r="C15" s="116">
        <f>C12+C14</f>
        <v>6069999.9199999999</v>
      </c>
      <c r="D15" s="116">
        <f>D12+D14</f>
        <v>6319760</v>
      </c>
      <c r="E15" s="116">
        <f>E12+E14</f>
        <v>6028927.5000000009</v>
      </c>
      <c r="F15" s="116">
        <f>F12+F14</f>
        <v>4829000</v>
      </c>
      <c r="H15" s="116">
        <f t="shared" ref="H15:I15" si="0">H12+H14</f>
        <v>100000</v>
      </c>
      <c r="I15" s="116">
        <f t="shared" si="0"/>
        <v>4929000</v>
      </c>
      <c r="K15" s="116">
        <f t="shared" ref="K15:L15" si="1">K12+K14</f>
        <v>150300</v>
      </c>
      <c r="L15" s="116">
        <f t="shared" si="1"/>
        <v>5079300</v>
      </c>
      <c r="N15" s="116">
        <f t="shared" ref="N15:O15" si="2">N12+N14</f>
        <v>49297.26</v>
      </c>
      <c r="O15" s="116">
        <f t="shared" si="2"/>
        <v>5128597.26</v>
      </c>
    </row>
    <row r="17" spans="1:15" ht="15.75" thickBot="1">
      <c r="A17" s="107" t="s">
        <v>278</v>
      </c>
      <c r="B17" s="107"/>
      <c r="C17" s="108">
        <f>C9-C15</f>
        <v>-778999.91999999993</v>
      </c>
      <c r="D17" s="108">
        <f>D9-D15</f>
        <v>-84520</v>
      </c>
      <c r="E17" s="108">
        <f>E9-E15</f>
        <v>171589.59999999963</v>
      </c>
      <c r="F17" s="108">
        <f>F9-F15</f>
        <v>-437000</v>
      </c>
      <c r="H17" s="108">
        <f>H9-H15</f>
        <v>111541.07</v>
      </c>
      <c r="I17" s="108">
        <f t="shared" ref="I17" si="3">I9-I15</f>
        <v>-325458.9299999997</v>
      </c>
      <c r="K17" s="108">
        <f>K9-K15</f>
        <v>-150300</v>
      </c>
      <c r="L17" s="108">
        <f t="shared" ref="L17" si="4">L9-L15</f>
        <v>-475758.9299999997</v>
      </c>
      <c r="N17" s="108">
        <f>N9-N15</f>
        <v>0</v>
      </c>
      <c r="O17" s="108">
        <f t="shared" ref="O17" si="5">O9-O15</f>
        <v>-475758.9299999997</v>
      </c>
    </row>
    <row r="19" spans="1:15" ht="15.75">
      <c r="A19" s="111" t="s">
        <v>279</v>
      </c>
      <c r="B19" s="111" t="s">
        <v>5</v>
      </c>
      <c r="C19" s="111"/>
      <c r="D19" s="111"/>
      <c r="E19" s="111"/>
      <c r="F19" s="114"/>
      <c r="H19" s="221"/>
      <c r="I19" s="221"/>
      <c r="K19" s="221"/>
      <c r="L19" s="221"/>
      <c r="N19" s="221"/>
      <c r="O19" s="221"/>
    </row>
    <row r="20" spans="1:15">
      <c r="A20" s="105" t="s">
        <v>280</v>
      </c>
      <c r="B20" s="105">
        <v>8115</v>
      </c>
      <c r="C20" s="106">
        <v>779000</v>
      </c>
      <c r="D20" s="106">
        <v>84520</v>
      </c>
      <c r="E20" s="106">
        <v>0</v>
      </c>
      <c r="F20" s="106">
        <v>437000</v>
      </c>
      <c r="H20" s="106">
        <v>0</v>
      </c>
      <c r="I20" s="106">
        <f>F20+H21</f>
        <v>325459</v>
      </c>
      <c r="K20" s="106">
        <v>150300</v>
      </c>
      <c r="L20" s="106">
        <f>I20+K20</f>
        <v>475759</v>
      </c>
      <c r="N20" s="106">
        <v>0</v>
      </c>
      <c r="O20" s="106">
        <f>L20+N20</f>
        <v>475759</v>
      </c>
    </row>
    <row r="21" spans="1:15">
      <c r="A21" s="105" t="s">
        <v>362</v>
      </c>
      <c r="B21" s="105">
        <v>8115</v>
      </c>
      <c r="C21" s="106">
        <v>0</v>
      </c>
      <c r="D21" s="106">
        <v>0</v>
      </c>
      <c r="E21" s="106">
        <f>-E17</f>
        <v>-171589.59999999963</v>
      </c>
      <c r="F21" s="106">
        <v>0</v>
      </c>
      <c r="H21" s="106">
        <v>-111541</v>
      </c>
      <c r="I21" s="106">
        <v>0</v>
      </c>
      <c r="K21" s="106">
        <v>0</v>
      </c>
      <c r="L21" s="106">
        <v>0</v>
      </c>
      <c r="N21" s="106">
        <v>0</v>
      </c>
      <c r="O21" s="106">
        <v>0</v>
      </c>
    </row>
    <row r="22" spans="1:15">
      <c r="A22" s="105" t="s">
        <v>358</v>
      </c>
      <c r="B22" s="105">
        <v>8123</v>
      </c>
      <c r="C22" s="106">
        <v>0</v>
      </c>
      <c r="D22" s="106">
        <v>0</v>
      </c>
      <c r="E22" s="106">
        <v>0</v>
      </c>
      <c r="F22" s="106">
        <v>0</v>
      </c>
      <c r="H22" s="106">
        <v>0</v>
      </c>
      <c r="I22" s="106">
        <v>0</v>
      </c>
      <c r="K22" s="106">
        <v>0</v>
      </c>
      <c r="L22" s="106">
        <v>0</v>
      </c>
      <c r="N22" s="106">
        <v>0</v>
      </c>
      <c r="O22" s="106">
        <v>0</v>
      </c>
    </row>
    <row r="23" spans="1:15" s="117" customFormat="1" ht="17.25" customHeight="1" thickBot="1">
      <c r="A23" s="115" t="s">
        <v>359</v>
      </c>
      <c r="B23" s="115"/>
      <c r="C23" s="116">
        <f>SUM(C20:C22)</f>
        <v>779000</v>
      </c>
      <c r="D23" s="116">
        <f>SUM(D20:D22)</f>
        <v>84520</v>
      </c>
      <c r="E23" s="116">
        <f>SUM(E20:E22)</f>
        <v>-171589.59999999963</v>
      </c>
      <c r="F23" s="116">
        <f>SUM(F20:F22)</f>
        <v>437000</v>
      </c>
      <c r="H23" s="116">
        <f>SUM(H20:H22)</f>
        <v>-111541</v>
      </c>
      <c r="I23" s="116">
        <f>SUM(I20:I22)</f>
        <v>325459</v>
      </c>
      <c r="K23" s="116">
        <f>SUM(K20:K22)</f>
        <v>150300</v>
      </c>
      <c r="L23" s="116">
        <f>SUM(L20:L22)</f>
        <v>475759</v>
      </c>
      <c r="N23" s="116">
        <f>SUM(N20:N22)</f>
        <v>0</v>
      </c>
      <c r="O23" s="116">
        <f>SUM(O20:O22)</f>
        <v>475759</v>
      </c>
    </row>
    <row r="24" spans="1:15">
      <c r="H24" s="106"/>
      <c r="I24" s="106"/>
      <c r="K24" s="106"/>
      <c r="L24" s="106"/>
      <c r="N24" s="106"/>
      <c r="O24" s="106"/>
    </row>
    <row r="25" spans="1:15" ht="15.75" thickBot="1">
      <c r="A25" s="109" t="s">
        <v>360</v>
      </c>
      <c r="B25" s="109"/>
      <c r="C25" s="110">
        <f>C9-C15+C23</f>
        <v>8.0000000074505806E-2</v>
      </c>
      <c r="D25" s="110">
        <f>D9-D15+D23</f>
        <v>0</v>
      </c>
      <c r="E25" s="110">
        <f>E9-E15+E23</f>
        <v>0</v>
      </c>
      <c r="F25" s="110">
        <f>F9-F15+F23</f>
        <v>0</v>
      </c>
      <c r="H25" s="110">
        <f>H9-H15+H23</f>
        <v>7.0000000006984919E-2</v>
      </c>
      <c r="I25" s="110">
        <f>I9-I15+I23</f>
        <v>7.0000000298023224E-2</v>
      </c>
      <c r="K25" s="110">
        <f>K9-K15+K23</f>
        <v>0</v>
      </c>
      <c r="L25" s="110">
        <f>L9-L15+L23</f>
        <v>7.0000000298023224E-2</v>
      </c>
      <c r="N25" s="110">
        <f>N9-N15+N23</f>
        <v>0</v>
      </c>
      <c r="O25" s="110">
        <f>O9-O15+O23</f>
        <v>7.0000000298023224E-2</v>
      </c>
    </row>
    <row r="27" spans="1:15">
      <c r="A27" s="105" t="s">
        <v>474</v>
      </c>
    </row>
    <row r="28" spans="1:15">
      <c r="A28" s="105" t="s">
        <v>470</v>
      </c>
    </row>
    <row r="29" spans="1:15">
      <c r="A29" s="105" t="s">
        <v>477</v>
      </c>
      <c r="B29" s="132"/>
    </row>
    <row r="30" spans="1:15">
      <c r="A30" s="105" t="s">
        <v>481</v>
      </c>
      <c r="B30" s="132"/>
      <c r="J30" s="219"/>
    </row>
    <row r="31" spans="1:15">
      <c r="B31" s="132"/>
      <c r="J31" s="219" t="s">
        <v>461</v>
      </c>
    </row>
    <row r="32" spans="1:15">
      <c r="J32" s="219" t="s">
        <v>462</v>
      </c>
    </row>
    <row r="33" spans="1:1">
      <c r="A33" s="104" t="s">
        <v>480</v>
      </c>
    </row>
    <row r="34" spans="1:1">
      <c r="A34" s="104"/>
    </row>
    <row r="35" spans="1:1">
      <c r="A35" s="104" t="s">
        <v>382</v>
      </c>
    </row>
  </sheetData>
  <mergeCells count="4">
    <mergeCell ref="A2:F2"/>
    <mergeCell ref="H3:I3"/>
    <mergeCell ref="K3:L3"/>
    <mergeCell ref="N3:O3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6C33-0F74-49AE-BCE8-2CEEBD162DC4}">
  <sheetPr>
    <tabColor theme="9" tint="-0.249977111117893"/>
  </sheetPr>
  <dimension ref="A1:G24"/>
  <sheetViews>
    <sheetView workbookViewId="0">
      <selection activeCell="D14" sqref="D14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64" t="s">
        <v>465</v>
      </c>
      <c r="B1" s="464"/>
      <c r="C1" s="464"/>
      <c r="D1" s="464"/>
      <c r="E1" s="464"/>
      <c r="F1" s="464"/>
      <c r="G1" s="334"/>
    </row>
    <row r="2" spans="1:7" ht="23.25">
      <c r="A2" s="460" t="s">
        <v>638</v>
      </c>
      <c r="B2" s="460"/>
      <c r="C2" s="460"/>
      <c r="D2" s="460"/>
      <c r="E2" s="460"/>
      <c r="F2" s="460"/>
    </row>
    <row r="3" spans="1:7" ht="15.75" thickBot="1"/>
    <row r="4" spans="1:7" ht="15.75">
      <c r="A4" s="454"/>
      <c r="B4" s="456" t="s">
        <v>260</v>
      </c>
      <c r="C4" s="404" t="s">
        <v>590</v>
      </c>
      <c r="D4" s="405" t="s">
        <v>598</v>
      </c>
      <c r="E4" s="462" t="s">
        <v>384</v>
      </c>
      <c r="F4" s="463"/>
    </row>
    <row r="5" spans="1:7" ht="16.5" thickBot="1">
      <c r="A5" s="455"/>
      <c r="B5" s="457"/>
      <c r="C5" s="216">
        <v>2023</v>
      </c>
      <c r="D5" s="365">
        <v>2024</v>
      </c>
      <c r="E5" s="216">
        <v>2025</v>
      </c>
      <c r="F5" s="88">
        <v>2026</v>
      </c>
    </row>
    <row r="6" spans="1:7">
      <c r="A6" s="89" t="s">
        <v>364</v>
      </c>
      <c r="B6" s="356" t="s">
        <v>365</v>
      </c>
      <c r="C6" s="375">
        <f>RO_24návrh!E5</f>
        <v>6279896.7999999998</v>
      </c>
      <c r="D6" s="352">
        <f>RO_24návrh!F5</f>
        <v>6763000</v>
      </c>
      <c r="E6" s="91">
        <v>6950000</v>
      </c>
      <c r="F6" s="92">
        <v>7100000</v>
      </c>
    </row>
    <row r="7" spans="1:7">
      <c r="A7" s="93" t="s">
        <v>366</v>
      </c>
      <c r="B7" s="357" t="s">
        <v>367</v>
      </c>
      <c r="C7" s="91">
        <f>RO_24návrh!E6</f>
        <v>801065.93</v>
      </c>
      <c r="D7" s="352">
        <f>RO_24návrh!F6</f>
        <v>430400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91">
        <f>RO_24návrh!E7</f>
        <v>205926</v>
      </c>
      <c r="D8" s="352">
        <f>RO_24návrh!F7</f>
        <v>40000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RO_24návrh!E8</f>
        <v>1624040</v>
      </c>
      <c r="D9" s="352">
        <f>RO_24návrh!F8</f>
        <v>179700</v>
      </c>
      <c r="E9" s="98">
        <v>80000</v>
      </c>
      <c r="F9" s="99">
        <v>80000</v>
      </c>
    </row>
    <row r="10" spans="1:7" ht="17.25" thickTop="1" thickBot="1">
      <c r="A10" s="100"/>
      <c r="B10" s="359" t="s">
        <v>372</v>
      </c>
      <c r="C10" s="101">
        <f>SUM(C6:C9)</f>
        <v>8910928.7300000004</v>
      </c>
      <c r="D10" s="354">
        <f>SUM(D6:D9)</f>
        <v>7413100</v>
      </c>
      <c r="E10" s="101">
        <f>SUM(E6:E9)</f>
        <v>7580000</v>
      </c>
      <c r="F10" s="102">
        <f>SUM(F6:F9)</f>
        <v>7730000</v>
      </c>
    </row>
    <row r="11" spans="1:7" ht="15.75" thickTop="1">
      <c r="A11" s="89" t="s">
        <v>373</v>
      </c>
      <c r="B11" s="356" t="s">
        <v>374</v>
      </c>
      <c r="C11" s="91">
        <f>RO_24návrh!E12</f>
        <v>6909647.4500000002</v>
      </c>
      <c r="D11" s="352">
        <f>RO_24návrh!F12</f>
        <v>5939880.0999999996</v>
      </c>
      <c r="E11" s="91">
        <v>6373000</v>
      </c>
      <c r="F11" s="92">
        <v>6497000</v>
      </c>
    </row>
    <row r="12" spans="1:7" ht="15.75" thickBot="1">
      <c r="A12" s="96" t="s">
        <v>375</v>
      </c>
      <c r="B12" s="358" t="s">
        <v>376</v>
      </c>
      <c r="C12" s="91">
        <f>RO_24návrh!E13</f>
        <v>1491803.66</v>
      </c>
      <c r="D12" s="352">
        <f>RO_24návrh!F13</f>
        <v>2258340</v>
      </c>
      <c r="E12" s="98">
        <v>970000</v>
      </c>
      <c r="F12" s="99">
        <v>1000000</v>
      </c>
    </row>
    <row r="13" spans="1:7" ht="17.25" thickTop="1" thickBot="1">
      <c r="A13" s="100"/>
      <c r="B13" s="359" t="s">
        <v>377</v>
      </c>
      <c r="C13" s="101">
        <f>SUM(C11:C12)</f>
        <v>8401451.1099999994</v>
      </c>
      <c r="D13" s="354">
        <f>SUM(D11:D12)</f>
        <v>8198220.0999999996</v>
      </c>
      <c r="E13" s="101">
        <f>SUM(E11:E12)</f>
        <v>7343000</v>
      </c>
      <c r="F13" s="102">
        <f>SUM(F11:F12)</f>
        <v>7497000</v>
      </c>
    </row>
    <row r="14" spans="1:7" ht="15.75" thickTop="1">
      <c r="A14" s="89" t="s">
        <v>378</v>
      </c>
      <c r="B14" s="356" t="s">
        <v>379</v>
      </c>
      <c r="C14" s="91">
        <v>-268734</v>
      </c>
      <c r="D14" s="352">
        <f>RO_24návrh!F19+RO_24návrh!F23</f>
        <v>1026120</v>
      </c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RO_24návrh!E24</f>
        <v>-240744</v>
      </c>
      <c r="D15" s="361">
        <f>RO_24návrh!F24</f>
        <v>-241000</v>
      </c>
      <c r="E15" s="91">
        <v>-237000</v>
      </c>
      <c r="F15" s="92">
        <v>-233000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-240744</v>
      </c>
      <c r="D16" s="102">
        <f>SUM(D15:D15)</f>
        <v>-241000</v>
      </c>
      <c r="E16" s="102">
        <f>SUM(E15:E15)</f>
        <v>-237000</v>
      </c>
      <c r="F16" s="102">
        <f>SUM(F15:F15)</f>
        <v>-233000</v>
      </c>
    </row>
    <row r="17" spans="1:6" ht="17.25" thickTop="1" thickBot="1">
      <c r="A17" s="103"/>
      <c r="B17" s="360" t="s">
        <v>381</v>
      </c>
      <c r="C17" s="355">
        <f>C10+C16-C13+C14</f>
        <v>-0.37999999895691872</v>
      </c>
      <c r="D17" s="355">
        <f t="shared" ref="D17:F17" si="0">D10+D16-D13+D14</f>
        <v>-9.999999962747097E-2</v>
      </c>
      <c r="E17" s="355">
        <f>E10+E16-E13+E14</f>
        <v>0</v>
      </c>
      <c r="F17" s="355">
        <f t="shared" si="0"/>
        <v>0</v>
      </c>
    </row>
    <row r="18" spans="1:6">
      <c r="A18" t="s">
        <v>673</v>
      </c>
    </row>
    <row r="19" spans="1:6">
      <c r="A19" s="104"/>
    </row>
    <row r="20" spans="1:6">
      <c r="A20" s="104" t="s">
        <v>672</v>
      </c>
    </row>
    <row r="21" spans="1:6">
      <c r="A21" s="104"/>
    </row>
    <row r="22" spans="1:6" ht="15.75">
      <c r="A22" s="104" t="s">
        <v>658</v>
      </c>
      <c r="E22" s="219" t="s">
        <v>461</v>
      </c>
    </row>
    <row r="23" spans="1:6" ht="15.75">
      <c r="A23" s="104"/>
      <c r="E23" s="219" t="s">
        <v>462</v>
      </c>
    </row>
    <row r="24" spans="1:6">
      <c r="A24" s="104" t="s">
        <v>382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DA0E-723E-4C2B-B025-120CEF55DCEF}">
  <sheetPr>
    <tabColor theme="9" tint="-0.249977111117893"/>
  </sheetPr>
  <dimension ref="A1:G24"/>
  <sheetViews>
    <sheetView workbookViewId="0">
      <selection activeCell="G20" sqref="G20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  <col min="14" max="15" width="11.42578125" bestFit="1" customWidth="1"/>
  </cols>
  <sheetData>
    <row r="1" spans="1:7" ht="23.25" customHeight="1">
      <c r="A1" s="464" t="s">
        <v>383</v>
      </c>
      <c r="B1" s="464"/>
      <c r="C1" s="464"/>
      <c r="D1" s="464"/>
      <c r="E1" s="464"/>
      <c r="F1" s="464"/>
      <c r="G1" s="334"/>
    </row>
    <row r="2" spans="1:7" ht="23.25">
      <c r="A2" s="460" t="s">
        <v>638</v>
      </c>
      <c r="B2" s="460"/>
      <c r="C2" s="460"/>
      <c r="D2" s="460"/>
      <c r="E2" s="460"/>
      <c r="F2" s="460"/>
    </row>
    <row r="3" spans="1:7" ht="15.75" thickBot="1"/>
    <row r="4" spans="1:7" ht="15.75">
      <c r="A4" s="454"/>
      <c r="B4" s="456" t="s">
        <v>260</v>
      </c>
      <c r="C4" s="404" t="s">
        <v>590</v>
      </c>
      <c r="D4" s="364" t="s">
        <v>591</v>
      </c>
      <c r="E4" s="462" t="s">
        <v>384</v>
      </c>
      <c r="F4" s="463"/>
    </row>
    <row r="5" spans="1:7" ht="16.5" thickBot="1">
      <c r="A5" s="455"/>
      <c r="B5" s="457"/>
      <c r="C5" s="216">
        <v>2023</v>
      </c>
      <c r="D5" s="365">
        <v>2024</v>
      </c>
      <c r="E5" s="216">
        <v>2025</v>
      </c>
      <c r="F5" s="88">
        <v>2026</v>
      </c>
    </row>
    <row r="6" spans="1:7">
      <c r="A6" s="89" t="s">
        <v>364</v>
      </c>
      <c r="B6" s="356" t="s">
        <v>365</v>
      </c>
      <c r="C6" s="375">
        <f>RO_24návrh!E5</f>
        <v>6279896.7999999998</v>
      </c>
      <c r="D6" s="352">
        <f>RO_24návrh!F5</f>
        <v>6763000</v>
      </c>
      <c r="E6" s="91">
        <v>6950000</v>
      </c>
      <c r="F6" s="92">
        <v>7100000</v>
      </c>
    </row>
    <row r="7" spans="1:7">
      <c r="A7" s="93" t="s">
        <v>366</v>
      </c>
      <c r="B7" s="357" t="s">
        <v>367</v>
      </c>
      <c r="C7" s="91">
        <f>RO_24návrh!E6</f>
        <v>801065.93</v>
      </c>
      <c r="D7" s="352">
        <f>RO_24návrh!F6</f>
        <v>430400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91">
        <f>RO_24návrh!E7</f>
        <v>205926</v>
      </c>
      <c r="D8" s="352">
        <f>RO_24návrh!F7</f>
        <v>40000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91">
        <f>RO_24návrh!E8</f>
        <v>1624040</v>
      </c>
      <c r="D9" s="352">
        <f>RO_24návrh!F8</f>
        <v>179700</v>
      </c>
      <c r="E9" s="98">
        <v>80000</v>
      </c>
      <c r="F9" s="99">
        <v>80000</v>
      </c>
    </row>
    <row r="10" spans="1:7" ht="17.25" thickTop="1" thickBot="1">
      <c r="A10" s="100"/>
      <c r="B10" s="359" t="s">
        <v>372</v>
      </c>
      <c r="C10" s="101">
        <f>SUM(C6:C9)</f>
        <v>8910928.7300000004</v>
      </c>
      <c r="D10" s="354">
        <f>SUM(D6:D9)</f>
        <v>7413100</v>
      </c>
      <c r="E10" s="101">
        <f>SUM(E6:E9)</f>
        <v>7580000</v>
      </c>
      <c r="F10" s="102">
        <f>SUM(F6:F9)</f>
        <v>7730000</v>
      </c>
    </row>
    <row r="11" spans="1:7" ht="15.75" thickTop="1">
      <c r="A11" s="89" t="s">
        <v>373</v>
      </c>
      <c r="B11" s="356" t="s">
        <v>374</v>
      </c>
      <c r="C11" s="91">
        <f>RO_24návrh!E12</f>
        <v>6909647.4500000002</v>
      </c>
      <c r="D11" s="352">
        <f>RO_24návrh!F12</f>
        <v>5939880.0999999996</v>
      </c>
      <c r="E11" s="91">
        <v>6373000</v>
      </c>
      <c r="F11" s="92">
        <v>6497000</v>
      </c>
    </row>
    <row r="12" spans="1:7" ht="15.75" thickBot="1">
      <c r="A12" s="96" t="s">
        <v>375</v>
      </c>
      <c r="B12" s="358" t="s">
        <v>376</v>
      </c>
      <c r="C12" s="91">
        <f>RO_24návrh!E13</f>
        <v>1491803.66</v>
      </c>
      <c r="D12" s="352">
        <f>RO_24návrh!F13</f>
        <v>2258340</v>
      </c>
      <c r="E12" s="98">
        <v>970000</v>
      </c>
      <c r="F12" s="99">
        <v>1000000</v>
      </c>
    </row>
    <row r="13" spans="1:7" ht="17.25" thickTop="1" thickBot="1">
      <c r="A13" s="100"/>
      <c r="B13" s="359" t="s">
        <v>377</v>
      </c>
      <c r="C13" s="101">
        <f>SUM(C11:C12)</f>
        <v>8401451.1099999994</v>
      </c>
      <c r="D13" s="354">
        <f>SUM(D11:D12)</f>
        <v>8198220.0999999996</v>
      </c>
      <c r="E13" s="101">
        <f>SUM(E11:E12)</f>
        <v>7343000</v>
      </c>
      <c r="F13" s="102">
        <f>SUM(F11:F12)</f>
        <v>7497000</v>
      </c>
    </row>
    <row r="14" spans="1:7" ht="15.75" thickTop="1">
      <c r="A14" s="89" t="s">
        <v>378</v>
      </c>
      <c r="B14" s="356" t="s">
        <v>379</v>
      </c>
      <c r="C14" s="91">
        <v>-268734</v>
      </c>
      <c r="D14" s="352">
        <f>RO_24návrh!F19+RO_24návrh!F23</f>
        <v>1026120</v>
      </c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76">
        <f>RO_24návrh!E24</f>
        <v>-240744</v>
      </c>
      <c r="D15" s="361">
        <f>RO_24návrh!F24</f>
        <v>-241000</v>
      </c>
      <c r="E15" s="91">
        <v>-237000</v>
      </c>
      <c r="F15" s="92">
        <v>-233000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-240744</v>
      </c>
      <c r="D16" s="102">
        <f>SUM(D15:D15)</f>
        <v>-241000</v>
      </c>
      <c r="E16" s="102">
        <f>SUM(E15:E15)</f>
        <v>-237000</v>
      </c>
      <c r="F16" s="102">
        <f>SUM(F15:F15)</f>
        <v>-233000</v>
      </c>
    </row>
    <row r="17" spans="1:6" ht="17.25" thickTop="1" thickBot="1">
      <c r="A17" s="103"/>
      <c r="B17" s="360" t="s">
        <v>381</v>
      </c>
      <c r="C17" s="355">
        <f>C10+C16-C13+C14</f>
        <v>-0.37999999895691872</v>
      </c>
      <c r="D17" s="355">
        <f t="shared" ref="D17:F17" si="0">D10+D16-D13+D14</f>
        <v>-9.999999962747097E-2</v>
      </c>
      <c r="E17" s="355">
        <f>E10+E16-E13+E14</f>
        <v>0</v>
      </c>
      <c r="F17" s="355">
        <f t="shared" si="0"/>
        <v>0</v>
      </c>
    </row>
    <row r="19" spans="1:6">
      <c r="A19" s="104"/>
    </row>
    <row r="20" spans="1:6">
      <c r="A20" s="104"/>
    </row>
    <row r="21" spans="1:6">
      <c r="A21" s="104"/>
    </row>
    <row r="22" spans="1:6" ht="15.75">
      <c r="A22" s="104" t="s">
        <v>654</v>
      </c>
      <c r="E22" s="219" t="s">
        <v>461</v>
      </c>
    </row>
    <row r="23" spans="1:6" ht="15.75">
      <c r="A23" s="104"/>
      <c r="E23" s="219" t="s">
        <v>462</v>
      </c>
    </row>
    <row r="24" spans="1:6">
      <c r="A24" s="104" t="s">
        <v>382</v>
      </c>
    </row>
  </sheetData>
  <mergeCells count="5">
    <mergeCell ref="A1:F1"/>
    <mergeCell ref="A2:F2"/>
    <mergeCell ref="A4:A5"/>
    <mergeCell ref="B4:B5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7D3D-CBCB-4BA1-8C3F-D231DFC5ACE3}">
  <sheetPr>
    <tabColor theme="9" tint="-0.249977111117893"/>
    <pageSetUpPr fitToPage="1"/>
  </sheetPr>
  <dimension ref="A1:I35"/>
  <sheetViews>
    <sheetView tabSelected="1" workbookViewId="0">
      <selection activeCell="B18" sqref="B18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5703125" style="105" customWidth="1"/>
    <col min="4" max="5" width="18.28515625" style="105" customWidth="1"/>
    <col min="6" max="6" width="18.28515625" style="106" customWidth="1"/>
    <col min="7" max="7" width="11.140625" style="413" customWidth="1"/>
    <col min="8" max="8" width="10.5703125" style="407" customWidth="1"/>
    <col min="9" max="9" width="9.140625" style="105"/>
    <col min="10" max="10" width="10.28515625" style="105" bestFit="1" customWidth="1"/>
    <col min="11" max="16384" width="9.140625" style="105"/>
  </cols>
  <sheetData>
    <row r="1" spans="1:9">
      <c r="F1" s="105"/>
      <c r="G1" s="104"/>
      <c r="H1" s="104"/>
    </row>
    <row r="2" spans="1:9" ht="23.25">
      <c r="A2" s="460" t="s">
        <v>738</v>
      </c>
      <c r="B2" s="460"/>
      <c r="C2" s="460"/>
      <c r="D2" s="460"/>
      <c r="E2" s="460"/>
      <c r="F2" s="460"/>
      <c r="G2" s="406"/>
    </row>
    <row r="4" spans="1:9" ht="31.5">
      <c r="A4" s="111" t="s">
        <v>263</v>
      </c>
      <c r="B4" s="111" t="s">
        <v>5</v>
      </c>
      <c r="C4" s="112" t="s">
        <v>700</v>
      </c>
      <c r="D4" s="112" t="s">
        <v>723</v>
      </c>
      <c r="E4" s="112" t="s">
        <v>724</v>
      </c>
      <c r="F4" s="112" t="s">
        <v>725</v>
      </c>
      <c r="G4" s="408" t="s">
        <v>726</v>
      </c>
      <c r="H4" s="409" t="s">
        <v>727</v>
      </c>
    </row>
    <row r="5" spans="1:9">
      <c r="A5" s="105" t="s">
        <v>265</v>
      </c>
      <c r="B5" s="105" t="s">
        <v>266</v>
      </c>
      <c r="C5" s="106">
        <f>Rozpis_Příjmy!EK22</f>
        <v>6645800</v>
      </c>
      <c r="D5" s="106">
        <f>Rozpis_Příjmy!EZ22</f>
        <v>6839800</v>
      </c>
      <c r="E5" s="106">
        <f>Rozpis_Příjmy!FB22</f>
        <v>6888927.5600000005</v>
      </c>
      <c r="F5" s="106">
        <f>Rozpis_Příjmy!FD22</f>
        <v>6958800</v>
      </c>
      <c r="G5" s="410">
        <f>F5/D5-1</f>
        <v>1.7398169537121033E-2</v>
      </c>
      <c r="H5" s="410">
        <f>F5/E5-1</f>
        <v>1.0142716611756475E-2</v>
      </c>
    </row>
    <row r="6" spans="1:9">
      <c r="A6" s="105" t="s">
        <v>267</v>
      </c>
      <c r="B6" s="105" t="s">
        <v>268</v>
      </c>
      <c r="C6" s="106">
        <f>Rozpis_Příjmy!EK122</f>
        <v>710800</v>
      </c>
      <c r="D6" s="106">
        <f>Rozpis_Příjmy!EZ122</f>
        <v>1156469.9799999997</v>
      </c>
      <c r="E6" s="106">
        <f>Rozpis_Příjmy!FB122</f>
        <v>869676.8600000001</v>
      </c>
      <c r="F6" s="106">
        <f>Rozpis_Příjmy!FD122</f>
        <v>909000</v>
      </c>
      <c r="G6" s="410">
        <f t="shared" ref="G6:G8" si="0">F6/D6-1</f>
        <v>-0.21398737907576282</v>
      </c>
      <c r="H6" s="410">
        <f t="shared" ref="H6:H14" si="1">F6/E6-1</f>
        <v>4.5215805787910623E-2</v>
      </c>
    </row>
    <row r="7" spans="1:9">
      <c r="A7" s="105" t="s">
        <v>269</v>
      </c>
      <c r="B7" s="105" t="s">
        <v>270</v>
      </c>
      <c r="C7" s="106">
        <f>Rozpis_Příjmy!EK99</f>
        <v>100000</v>
      </c>
      <c r="D7" s="106">
        <f>Rozpis_Příjmy!EZ99</f>
        <v>85351</v>
      </c>
      <c r="E7" s="106">
        <f>Rozpis_Příjmy!FB99</f>
        <v>85351</v>
      </c>
      <c r="F7" s="106">
        <f>Rozpis_Příjmy!FD99</f>
        <v>22500</v>
      </c>
      <c r="G7" s="410">
        <f t="shared" si="0"/>
        <v>-0.73638270201872269</v>
      </c>
      <c r="H7" s="410">
        <f t="shared" si="1"/>
        <v>-0.73638270201872269</v>
      </c>
    </row>
    <row r="8" spans="1:9">
      <c r="A8" s="105" t="s">
        <v>271</v>
      </c>
      <c r="B8" s="105" t="s">
        <v>272</v>
      </c>
      <c r="C8" s="106">
        <f>Rozpis_Příjmy!EK35</f>
        <v>80300</v>
      </c>
      <c r="D8" s="106">
        <f>Rozpis_Příjmy!EZ35</f>
        <v>17332184.550000001</v>
      </c>
      <c r="E8" s="106">
        <f>Rozpis_Příjmy!FB35</f>
        <v>7478873.5599999996</v>
      </c>
      <c r="F8" s="106">
        <f>Rozpis_Příjmy!FD35</f>
        <v>10872504.27</v>
      </c>
      <c r="G8" s="410">
        <f t="shared" si="0"/>
        <v>-0.37269856326333661</v>
      </c>
      <c r="H8" s="410">
        <f t="shared" si="1"/>
        <v>0.45376227887452081</v>
      </c>
    </row>
    <row r="9" spans="1:9" s="117" customFormat="1" ht="16.5" thickBot="1">
      <c r="A9" s="115" t="s">
        <v>261</v>
      </c>
      <c r="B9" s="115"/>
      <c r="C9" s="116">
        <f>SUM(C5:C8)</f>
        <v>7536900</v>
      </c>
      <c r="D9" s="116">
        <f>SUM(D5:D8)</f>
        <v>25413805.530000001</v>
      </c>
      <c r="E9" s="116">
        <f>SUM(E5:E8)</f>
        <v>15322828.98</v>
      </c>
      <c r="F9" s="116">
        <f>SUM(F5:F8)</f>
        <v>18762804.27</v>
      </c>
      <c r="G9" s="411">
        <f>F9/D9-1</f>
        <v>-0.26170819841006321</v>
      </c>
      <c r="H9" s="412">
        <f t="shared" si="1"/>
        <v>0.22450001200757375</v>
      </c>
    </row>
    <row r="10" spans="1:9">
      <c r="H10" s="410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4"/>
      <c r="H11" s="415"/>
    </row>
    <row r="12" spans="1:9">
      <c r="A12" s="105" t="s">
        <v>274</v>
      </c>
      <c r="B12" s="105" t="s">
        <v>275</v>
      </c>
      <c r="C12" s="106">
        <f>Rozpis_Výdaje!FV350</f>
        <v>5989469.4000000004</v>
      </c>
      <c r="D12" s="106">
        <f>Rozpis_Výdaje!HA350</f>
        <v>6358244.7999999998</v>
      </c>
      <c r="E12" s="106">
        <f>Rozpis_Výdaje!HC350</f>
        <v>5693416.6100000003</v>
      </c>
      <c r="F12" s="106">
        <f>Rozpis_Výdaje!HE350</f>
        <v>9160974</v>
      </c>
      <c r="G12" s="410">
        <f t="shared" ref="G12:G13" si="2">F12/D12-1</f>
        <v>0.44080234218097436</v>
      </c>
      <c r="H12" s="410">
        <f t="shared" si="1"/>
        <v>0.60904683910001078</v>
      </c>
    </row>
    <row r="13" spans="1:9">
      <c r="A13" s="105" t="s">
        <v>276</v>
      </c>
      <c r="B13" s="105" t="s">
        <v>277</v>
      </c>
      <c r="C13" s="106">
        <f>Rozpis_Výdaje!FV353</f>
        <v>813300</v>
      </c>
      <c r="D13" s="106">
        <f>Rozpis_Výdaje!HA353</f>
        <v>20264882.550000001</v>
      </c>
      <c r="E13" s="106">
        <f>Rozpis_Výdaje!HC353</f>
        <v>13726506.869999999</v>
      </c>
      <c r="F13" s="106">
        <f>Rozpis_Výdaje!HE353</f>
        <v>4260829.9117000001</v>
      </c>
      <c r="G13" s="410">
        <f t="shared" si="2"/>
        <v>-0.78974317264424509</v>
      </c>
      <c r="H13" s="410">
        <f t="shared" si="1"/>
        <v>-0.68959109902809523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6802769.4000000004</v>
      </c>
      <c r="D14" s="116">
        <f>D12+D13</f>
        <v>26623127.350000001</v>
      </c>
      <c r="E14" s="116">
        <f>E12+E13</f>
        <v>19419923.48</v>
      </c>
      <c r="F14" s="116">
        <f>F12+F13</f>
        <v>13421803.911699999</v>
      </c>
      <c r="G14" s="411">
        <f>F14/D14-1</f>
        <v>-0.49585923038827373</v>
      </c>
      <c r="H14" s="412">
        <f t="shared" si="1"/>
        <v>-0.30886422258446511</v>
      </c>
    </row>
    <row r="16" spans="1:9" ht="15.75" thickBot="1">
      <c r="A16" s="107" t="s">
        <v>278</v>
      </c>
      <c r="B16" s="107"/>
      <c r="C16" s="108">
        <f>C9-C14</f>
        <v>734130.59999999963</v>
      </c>
      <c r="D16" s="108">
        <f>D9-D14</f>
        <v>-1209321.8200000003</v>
      </c>
      <c r="E16" s="108">
        <f>E9-E14</f>
        <v>-4097094.5</v>
      </c>
      <c r="F16" s="108">
        <f>F9-F14</f>
        <v>5341000.3583000004</v>
      </c>
      <c r="G16" s="416"/>
    </row>
    <row r="17" spans="1:8">
      <c r="G17" s="416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</row>
    <row r="19" spans="1:8" ht="15.75">
      <c r="A19" s="105" t="s">
        <v>692</v>
      </c>
      <c r="B19" s="105">
        <v>8113</v>
      </c>
      <c r="C19" s="117"/>
      <c r="D19" s="106">
        <v>20000000</v>
      </c>
      <c r="E19" s="106">
        <v>10950000</v>
      </c>
      <c r="F19" s="106">
        <v>3684350</v>
      </c>
      <c r="G19" s="416"/>
    </row>
    <row r="20" spans="1:8" ht="15.75">
      <c r="A20" s="105" t="s">
        <v>693</v>
      </c>
      <c r="B20" s="105">
        <v>8114</v>
      </c>
      <c r="C20" s="117"/>
      <c r="D20" s="106">
        <v>-20000000</v>
      </c>
      <c r="E20" s="106">
        <v>-6100000</v>
      </c>
      <c r="G20" s="416"/>
    </row>
    <row r="21" spans="1:8">
      <c r="A21" s="105" t="s">
        <v>280</v>
      </c>
      <c r="B21" s="105">
        <v>8115</v>
      </c>
      <c r="C21" s="106"/>
      <c r="D21" s="106">
        <v>1604642</v>
      </c>
      <c r="E21" s="106"/>
      <c r="G21" s="416"/>
    </row>
    <row r="22" spans="1:8">
      <c r="A22" s="105" t="s">
        <v>362</v>
      </c>
      <c r="B22" s="105">
        <v>8115</v>
      </c>
      <c r="C22" s="106">
        <v>-493131</v>
      </c>
      <c r="D22" s="106">
        <v>-154320</v>
      </c>
      <c r="E22" s="106">
        <v>-512161.48</v>
      </c>
      <c r="F22" s="106">
        <v>-250000</v>
      </c>
      <c r="G22" s="416"/>
    </row>
    <row r="23" spans="1:8">
      <c r="A23" s="105" t="s">
        <v>646</v>
      </c>
      <c r="B23" s="105">
        <v>8117</v>
      </c>
      <c r="C23" s="106">
        <v>1000000</v>
      </c>
      <c r="D23" s="106">
        <v>0</v>
      </c>
      <c r="E23" s="106"/>
      <c r="F23" s="106" t="s">
        <v>463</v>
      </c>
      <c r="G23" s="416"/>
      <c r="H23" s="407" t="s">
        <v>457</v>
      </c>
    </row>
    <row r="24" spans="1:8">
      <c r="A24" s="105" t="s">
        <v>647</v>
      </c>
      <c r="B24" s="105">
        <v>8118</v>
      </c>
      <c r="C24" s="106">
        <v>-1000000</v>
      </c>
      <c r="D24" s="106">
        <v>0</v>
      </c>
      <c r="E24" s="106"/>
      <c r="G24" s="416"/>
    </row>
    <row r="25" spans="1:8">
      <c r="A25" s="105" t="s">
        <v>358</v>
      </c>
      <c r="B25" s="105">
        <v>8123</v>
      </c>
      <c r="C25" s="106"/>
      <c r="D25" s="106"/>
      <c r="E25" s="106"/>
      <c r="G25" s="416"/>
    </row>
    <row r="26" spans="1:8">
      <c r="A26" s="105" t="s">
        <v>577</v>
      </c>
      <c r="B26" s="105">
        <v>8124</v>
      </c>
      <c r="C26" s="106">
        <v>-241000</v>
      </c>
      <c r="D26" s="106">
        <v>-241000</v>
      </c>
      <c r="E26" s="106">
        <v>-240744</v>
      </c>
      <c r="F26" s="106">
        <f>-241000+(-8534350)</f>
        <v>-8775350</v>
      </c>
      <c r="G26" s="416"/>
    </row>
    <row r="27" spans="1:8" s="117" customFormat="1" ht="17.25" customHeight="1" thickBot="1">
      <c r="A27" s="115" t="s">
        <v>359</v>
      </c>
      <c r="B27" s="115"/>
      <c r="C27" s="116">
        <f>SUM(C21:C26)</f>
        <v>-734131</v>
      </c>
      <c r="D27" s="116">
        <f t="shared" ref="D27" si="3">SUM(D21:D26)</f>
        <v>1209322</v>
      </c>
      <c r="E27" s="116">
        <f>SUM(E19:E26)</f>
        <v>4097094.5199999996</v>
      </c>
      <c r="F27" s="116">
        <f>SUM(F19:F26)</f>
        <v>-5341000</v>
      </c>
      <c r="G27" s="416"/>
      <c r="H27" s="417"/>
    </row>
    <row r="29" spans="1:8" ht="15.75" thickBot="1">
      <c r="A29" s="109" t="s">
        <v>360</v>
      </c>
      <c r="B29" s="109"/>
      <c r="C29" s="110">
        <f>C9-C14+C27</f>
        <v>-0.40000000037252903</v>
      </c>
      <c r="D29" s="110">
        <f>D9-D14+D27</f>
        <v>0.17999999970197678</v>
      </c>
      <c r="E29" s="110">
        <f>E9-E14+E27</f>
        <v>1.9999999552965164E-2</v>
      </c>
      <c r="F29" s="110">
        <f>F9-F14+F27</f>
        <v>0.35830000042915344</v>
      </c>
    </row>
    <row r="30" spans="1:8">
      <c r="C30" s="106"/>
      <c r="D30" s="106"/>
      <c r="E30" s="106"/>
    </row>
    <row r="31" spans="1:8">
      <c r="A31" s="104" t="s">
        <v>739</v>
      </c>
      <c r="B31" s="132"/>
    </row>
    <row r="32" spans="1:8">
      <c r="A32" s="104"/>
    </row>
    <row r="33" spans="1:5">
      <c r="A33" s="104"/>
      <c r="B33" s="132"/>
      <c r="E33" s="219" t="s">
        <v>461</v>
      </c>
    </row>
    <row r="34" spans="1:5">
      <c r="A34" s="104"/>
      <c r="E34" s="219" t="s">
        <v>462</v>
      </c>
    </row>
    <row r="35" spans="1:5">
      <c r="A35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162F-ACA6-44FC-A4E3-B5D2E89E59A6}">
  <sheetPr>
    <tabColor rgb="FFFFFF00"/>
    <pageSetUpPr fitToPage="1"/>
  </sheetPr>
  <dimension ref="A1:R39"/>
  <sheetViews>
    <sheetView zoomScale="90" zoomScaleNormal="90" workbookViewId="0">
      <selection activeCell="U31" sqref="U31"/>
    </sheetView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3" width="19.5703125" style="105" customWidth="1"/>
    <col min="4" max="5" width="18.28515625" style="105" customWidth="1"/>
    <col min="6" max="6" width="18.28515625" style="106" customWidth="1"/>
    <col min="7" max="7" width="4" style="105" customWidth="1"/>
    <col min="8" max="8" width="17.28515625" style="105" hidden="1" customWidth="1" outlineLevel="1"/>
    <col min="9" max="9" width="19" style="105" hidden="1" customWidth="1" outlineLevel="1"/>
    <col min="10" max="10" width="3" style="105" customWidth="1" collapsed="1"/>
    <col min="11" max="11" width="17.28515625" style="105" hidden="1" customWidth="1" outlineLevel="1"/>
    <col min="12" max="12" width="17.5703125" style="105" hidden="1" customWidth="1" outlineLevel="1"/>
    <col min="13" max="13" width="2.85546875" style="105" hidden="1" customWidth="1" outlineLevel="1"/>
    <col min="14" max="14" width="14.5703125" style="105" customWidth="1" collapsed="1"/>
    <col min="15" max="15" width="17.5703125" style="105" customWidth="1"/>
    <col min="16" max="16" width="5" style="105" customWidth="1"/>
    <col min="17" max="17" width="18.28515625" style="105" customWidth="1"/>
    <col min="18" max="18" width="17.7109375" style="105" customWidth="1"/>
    <col min="19" max="16384" width="9.140625" style="105"/>
  </cols>
  <sheetData>
    <row r="1" spans="1:18">
      <c r="F1" s="105"/>
    </row>
    <row r="2" spans="1:18" ht="23.25">
      <c r="A2" s="460" t="s">
        <v>722</v>
      </c>
      <c r="B2" s="460"/>
      <c r="C2" s="460"/>
      <c r="D2" s="460"/>
      <c r="E2" s="460"/>
      <c r="F2" s="460"/>
    </row>
    <row r="3" spans="1:18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</row>
    <row r="4" spans="1:18" ht="31.5">
      <c r="A4" s="111" t="s">
        <v>263</v>
      </c>
      <c r="B4" s="111" t="s">
        <v>5</v>
      </c>
      <c r="C4" s="112" t="s">
        <v>657</v>
      </c>
      <c r="D4" s="112" t="s">
        <v>689</v>
      </c>
      <c r="E4" s="112" t="s">
        <v>690</v>
      </c>
      <c r="F4" s="112" t="s">
        <v>700</v>
      </c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  <c r="Q4" s="222" t="s">
        <v>472</v>
      </c>
      <c r="R4" s="222" t="s">
        <v>473</v>
      </c>
    </row>
    <row r="5" spans="1:18">
      <c r="A5" s="105" t="s">
        <v>265</v>
      </c>
      <c r="B5" s="105" t="s">
        <v>266</v>
      </c>
      <c r="C5" s="106">
        <f>Rozpis_Příjmy!DU22</f>
        <v>6763000</v>
      </c>
      <c r="D5" s="106">
        <f>Rozpis_Příjmy!EG22</f>
        <v>6727114</v>
      </c>
      <c r="E5" s="106">
        <f>Rozpis_Příjmy!EI22</f>
        <v>6594028.2300000004</v>
      </c>
      <c r="F5" s="106">
        <f>Rozpis_Příjmy!EK22</f>
        <v>6645800</v>
      </c>
      <c r="H5" s="106">
        <f>Rozpis_Příjmy!EM22</f>
        <v>47000</v>
      </c>
      <c r="I5" s="106">
        <f>Rozpis_Příjmy!EN22</f>
        <v>6692800</v>
      </c>
      <c r="K5" s="106">
        <f>Rozpis_Příjmy!ES22</f>
        <v>0</v>
      </c>
      <c r="L5" s="106">
        <f>Rozpis_Příjmy!ET22</f>
        <v>6692800</v>
      </c>
      <c r="N5" s="106">
        <f>Rozpis_Příjmy!EV22</f>
        <v>147000</v>
      </c>
      <c r="O5" s="106">
        <f>Rozpis_Příjmy!EW22</f>
        <v>6839800</v>
      </c>
      <c r="Q5" s="106">
        <f>Rozpis_Příjmy!EY22</f>
        <v>0</v>
      </c>
      <c r="R5" s="106">
        <f>Rozpis_Příjmy!EZ22</f>
        <v>6839800</v>
      </c>
    </row>
    <row r="6" spans="1:18">
      <c r="A6" s="105" t="s">
        <v>267</v>
      </c>
      <c r="B6" s="105" t="s">
        <v>268</v>
      </c>
      <c r="C6" s="106">
        <f>Rozpis_Příjmy!DU122</f>
        <v>430400</v>
      </c>
      <c r="D6" s="106">
        <f>Rozpis_Příjmy!EG122</f>
        <v>680083</v>
      </c>
      <c r="E6" s="106">
        <f>Rozpis_Příjmy!EI122</f>
        <v>792358.71</v>
      </c>
      <c r="F6" s="106">
        <f>Rozpis_Příjmy!EK122</f>
        <v>710800</v>
      </c>
      <c r="H6" s="106">
        <f>Rozpis_Příjmy!EM122</f>
        <v>439884.98</v>
      </c>
      <c r="I6" s="106">
        <f>Rozpis_Příjmy!EN122</f>
        <v>1150684.9799999997</v>
      </c>
      <c r="K6" s="106">
        <f>Rozpis_Příjmy!ES122</f>
        <v>0</v>
      </c>
      <c r="L6" s="106">
        <f>Rozpis_Příjmy!ET122</f>
        <v>1150684.9799999997</v>
      </c>
      <c r="N6" s="106">
        <f>Rozpis_Příjmy!EV122</f>
        <v>5785</v>
      </c>
      <c r="O6" s="106">
        <f>Rozpis_Příjmy!EW122</f>
        <v>1156469.9799999997</v>
      </c>
      <c r="Q6" s="106">
        <f>Rozpis_Příjmy!EY122</f>
        <v>0</v>
      </c>
      <c r="R6" s="106">
        <f>Rozpis_Příjmy!EZ122</f>
        <v>1156469.9799999997</v>
      </c>
    </row>
    <row r="7" spans="1:18">
      <c r="A7" s="105" t="s">
        <v>269</v>
      </c>
      <c r="B7" s="105" t="s">
        <v>270</v>
      </c>
      <c r="C7" s="106">
        <f>Rozpis_Příjmy!DU99</f>
        <v>40000</v>
      </c>
      <c r="D7" s="106">
        <f>Rozpis_Příjmy!EG99</f>
        <v>82066</v>
      </c>
      <c r="E7" s="106">
        <f>Rozpis_Příjmy!EI99</f>
        <v>592</v>
      </c>
      <c r="F7" s="106">
        <f>Rozpis_Příjmy!EK99</f>
        <v>100000</v>
      </c>
      <c r="H7" s="106">
        <f>Rozpis_Příjmy!EM99</f>
        <v>0</v>
      </c>
      <c r="I7" s="106">
        <f>Rozpis_Příjmy!EN99</f>
        <v>100000</v>
      </c>
      <c r="K7" s="106">
        <f>Rozpis_Příjmy!ES99</f>
        <v>0</v>
      </c>
      <c r="L7" s="106">
        <f>Rozpis_Příjmy!ET99</f>
        <v>100000</v>
      </c>
      <c r="N7" s="106">
        <f>Rozpis_Příjmy!EV99</f>
        <v>-14649</v>
      </c>
      <c r="O7" s="106">
        <f>Rozpis_Příjmy!EW99</f>
        <v>85351</v>
      </c>
      <c r="Q7" s="106">
        <f>Rozpis_Příjmy!EY99</f>
        <v>0</v>
      </c>
      <c r="R7" s="106">
        <f>Rozpis_Příjmy!EZ99</f>
        <v>85351</v>
      </c>
    </row>
    <row r="8" spans="1:18">
      <c r="A8" s="105" t="s">
        <v>271</v>
      </c>
      <c r="B8" s="105" t="s">
        <v>272</v>
      </c>
      <c r="C8" s="106">
        <f>Rozpis_Příjmy!DU35</f>
        <v>179700</v>
      </c>
      <c r="D8" s="106">
        <f>Rozpis_Příjmy!EG35</f>
        <v>318671</v>
      </c>
      <c r="E8" s="106">
        <f>Rozpis_Příjmy!EI35</f>
        <v>318671</v>
      </c>
      <c r="F8" s="106">
        <f>Rozpis_Příjmy!EK35</f>
        <v>80300</v>
      </c>
      <c r="H8" s="106">
        <f>Rozpis_Příjmy!EM35</f>
        <v>19111564.550000001</v>
      </c>
      <c r="I8" s="106">
        <f>Rozpis_Příjmy!EN35</f>
        <v>19191864.550000001</v>
      </c>
      <c r="K8" s="106">
        <f>Rozpis_Příjmy!ES35</f>
        <v>-1850000</v>
      </c>
      <c r="L8" s="106">
        <f>Rozpis_Příjmy!ET35</f>
        <v>17341864.550000001</v>
      </c>
      <c r="N8" s="106">
        <f>Rozpis_Příjmy!EV35</f>
        <v>42500</v>
      </c>
      <c r="O8" s="106">
        <f>Rozpis_Příjmy!EW35</f>
        <v>17384364.550000001</v>
      </c>
      <c r="Q8" s="106">
        <f>Rozpis_Příjmy!EY35</f>
        <v>-52180</v>
      </c>
      <c r="R8" s="106">
        <f>Rozpis_Příjmy!EZ35</f>
        <v>17332184.550000001</v>
      </c>
    </row>
    <row r="9" spans="1:18" s="117" customFormat="1" ht="16.5" thickBot="1">
      <c r="A9" s="115" t="s">
        <v>261</v>
      </c>
      <c r="B9" s="115"/>
      <c r="C9" s="116">
        <f>SUM(C5:C8)</f>
        <v>7413100</v>
      </c>
      <c r="D9" s="116">
        <f>SUM(D5:D8)</f>
        <v>7807934</v>
      </c>
      <c r="E9" s="116">
        <f>SUM(E5:E8)</f>
        <v>7705649.9400000004</v>
      </c>
      <c r="F9" s="116">
        <f>SUM(F5:F8)</f>
        <v>7536900</v>
      </c>
      <c r="H9" s="116">
        <f>SUM(H5:H8)</f>
        <v>19598449.530000001</v>
      </c>
      <c r="I9" s="116">
        <f>SUM(I5:I8)</f>
        <v>27135349.530000001</v>
      </c>
      <c r="K9" s="116">
        <f>SUM(K5:K8)</f>
        <v>-1850000</v>
      </c>
      <c r="L9" s="116">
        <f>SUM(L5:L8)</f>
        <v>25285349.530000001</v>
      </c>
      <c r="N9" s="116">
        <f>SUM(N5:N8)</f>
        <v>180636</v>
      </c>
      <c r="O9" s="116">
        <f>SUM(O5:O8)</f>
        <v>25465985.530000001</v>
      </c>
      <c r="Q9" s="116">
        <f>SUM(Q5:Q8)</f>
        <v>-52180</v>
      </c>
      <c r="R9" s="116">
        <f>SUM(R5:R8)</f>
        <v>25413805.530000001</v>
      </c>
    </row>
    <row r="10" spans="1:18">
      <c r="H10" s="106"/>
      <c r="I10" s="106"/>
      <c r="K10" s="106"/>
      <c r="L10" s="106"/>
      <c r="N10" s="106"/>
      <c r="O10" s="106"/>
      <c r="Q10" s="106"/>
      <c r="R10" s="106"/>
    </row>
    <row r="11" spans="1:18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H11" s="114"/>
      <c r="I11" s="114"/>
      <c r="K11" s="114"/>
      <c r="L11" s="114"/>
      <c r="N11" s="114"/>
      <c r="O11" s="114"/>
      <c r="Q11" s="114"/>
      <c r="R11" s="114"/>
    </row>
    <row r="12" spans="1:18">
      <c r="A12" s="105" t="s">
        <v>274</v>
      </c>
      <c r="B12" s="105" t="s">
        <v>275</v>
      </c>
      <c r="C12" s="106">
        <f>Rozpis_Výdaje!EK350</f>
        <v>5939880.0999999996</v>
      </c>
      <c r="D12" s="106">
        <f>Rozpis_Výdaje!FR350</f>
        <v>6088441.0999999996</v>
      </c>
      <c r="E12" s="106">
        <f>Rozpis_Výdaje!FT350</f>
        <v>5823835.5100000016</v>
      </c>
      <c r="F12" s="106">
        <f>Rozpis_Výdaje!FV350</f>
        <v>5989469.4000000004</v>
      </c>
      <c r="H12" s="106">
        <f>Rozpis_Výdaje!GE350</f>
        <v>745126</v>
      </c>
      <c r="I12" s="106">
        <f>Rozpis_Výdaje!GF350</f>
        <v>6734595.4000000004</v>
      </c>
      <c r="K12" s="106">
        <f>Rozpis_Výdaje!GH350</f>
        <v>0</v>
      </c>
      <c r="L12" s="106">
        <f>Rozpis_Výdaje!GI350</f>
        <v>6734595.4000000004</v>
      </c>
      <c r="N12" s="106">
        <f>Rozpis_Výdaje!GQ350</f>
        <v>-169850</v>
      </c>
      <c r="O12" s="106">
        <f>Rozpis_Výdaje!GR350</f>
        <v>6564745.4000000004</v>
      </c>
      <c r="Q12" s="106">
        <f>Rozpis_Výdaje!GZ350</f>
        <v>-206500</v>
      </c>
      <c r="R12" s="106">
        <f>Rozpis_Výdaje!HA350</f>
        <v>6358244.7999999998</v>
      </c>
    </row>
    <row r="13" spans="1:18">
      <c r="A13" s="105" t="s">
        <v>276</v>
      </c>
      <c r="B13" s="105" t="s">
        <v>277</v>
      </c>
      <c r="C13" s="106">
        <f>Rozpis_Výdaje!EK353</f>
        <v>2258340</v>
      </c>
      <c r="D13" s="106">
        <f>Rozpis_Výdaje!FR353</f>
        <v>2480440</v>
      </c>
      <c r="E13" s="106">
        <f>Rozpis_Výdaje!FT353</f>
        <v>2403137.06</v>
      </c>
      <c r="F13" s="106">
        <f>Rozpis_Výdaje!FV353</f>
        <v>813300</v>
      </c>
      <c r="G13" s="105" t="s">
        <v>457</v>
      </c>
      <c r="H13" s="106">
        <f>Rozpis_Výdaje!GE353</f>
        <v>19474032.550000001</v>
      </c>
      <c r="I13" s="106">
        <f>Rozpis_Výdaje!GF353</f>
        <v>20287332.550000001</v>
      </c>
      <c r="K13" s="106">
        <f>Rozpis_Výdaje!GH353</f>
        <v>0</v>
      </c>
      <c r="L13" s="106">
        <f>Rozpis_Výdaje!GI353</f>
        <v>20287332.550000001</v>
      </c>
      <c r="N13" s="106">
        <f>Rozpis_Výdaje!GQ353</f>
        <v>-22450</v>
      </c>
      <c r="O13" s="106">
        <f>Rozpis_Výdaje!GR353</f>
        <v>20264882.550000001</v>
      </c>
      <c r="Q13" s="106">
        <f>Rozpis_Výdaje!GZ353</f>
        <v>0</v>
      </c>
      <c r="R13" s="106">
        <f>Rozpis_Výdaje!HA353</f>
        <v>20264882.550000001</v>
      </c>
    </row>
    <row r="14" spans="1:18" s="117" customFormat="1" ht="16.5" thickBot="1">
      <c r="A14" s="115" t="s">
        <v>262</v>
      </c>
      <c r="B14" s="115"/>
      <c r="C14" s="116">
        <f>C12+C13</f>
        <v>8198220.0999999996</v>
      </c>
      <c r="D14" s="116">
        <f>D12+D13</f>
        <v>8568881.0999999996</v>
      </c>
      <c r="E14" s="116">
        <f>E12+E13</f>
        <v>8226972.5700000022</v>
      </c>
      <c r="F14" s="116">
        <f>F12+F13</f>
        <v>6802769.4000000004</v>
      </c>
      <c r="H14" s="116">
        <f>H12+H13</f>
        <v>20219158.550000001</v>
      </c>
      <c r="I14" s="116">
        <f>I12+I13</f>
        <v>27021927.950000003</v>
      </c>
      <c r="K14" s="116">
        <f>K12+K13</f>
        <v>0</v>
      </c>
      <c r="L14" s="116">
        <f>L12+L13</f>
        <v>27021927.950000003</v>
      </c>
      <c r="N14" s="116">
        <f>N12+N13</f>
        <v>-192300</v>
      </c>
      <c r="O14" s="116">
        <f>O12+O13</f>
        <v>26829627.950000003</v>
      </c>
      <c r="Q14" s="116">
        <f>Q12+Q13</f>
        <v>-206500</v>
      </c>
      <c r="R14" s="116">
        <f>R12+R13</f>
        <v>26623127.350000001</v>
      </c>
    </row>
    <row r="15" spans="1:18">
      <c r="H15" s="106"/>
      <c r="I15" s="106"/>
      <c r="K15" s="106"/>
      <c r="L15" s="106"/>
      <c r="N15" s="106"/>
      <c r="O15" s="106"/>
      <c r="Q15" s="106"/>
      <c r="R15" s="106"/>
    </row>
    <row r="16" spans="1:18" ht="15.75" thickBot="1">
      <c r="A16" s="107" t="s">
        <v>278</v>
      </c>
      <c r="B16" s="107"/>
      <c r="C16" s="108">
        <f>C9-C14</f>
        <v>-785120.09999999963</v>
      </c>
      <c r="D16" s="108">
        <f>D9-D14</f>
        <v>-760947.09999999963</v>
      </c>
      <c r="E16" s="108">
        <f>E9-E14</f>
        <v>-521322.63000000175</v>
      </c>
      <c r="F16" s="108">
        <f>F9-F14</f>
        <v>734130.59999999963</v>
      </c>
      <c r="H16" s="108">
        <f>H9-H14</f>
        <v>-620709.01999999955</v>
      </c>
      <c r="I16" s="108">
        <f>I9-I14</f>
        <v>113421.57999999821</v>
      </c>
      <c r="K16" s="108">
        <f>K9-K14</f>
        <v>-1850000</v>
      </c>
      <c r="L16" s="108">
        <f>L9-L14</f>
        <v>-1736578.4200000018</v>
      </c>
      <c r="M16" s="106"/>
      <c r="N16" s="108">
        <f>N9-N14</f>
        <v>372936</v>
      </c>
      <c r="O16" s="108">
        <f>O9-O14</f>
        <v>-1363642.4200000018</v>
      </c>
      <c r="Q16" s="108">
        <f>Q9-Q14</f>
        <v>154320</v>
      </c>
      <c r="R16" s="108">
        <f>R9-R14</f>
        <v>-1209321.8200000003</v>
      </c>
    </row>
    <row r="17" spans="1:18">
      <c r="H17" s="106"/>
      <c r="I17" s="106"/>
      <c r="K17" s="106"/>
      <c r="L17" s="106"/>
      <c r="M17" s="106"/>
      <c r="N17" s="106"/>
      <c r="O17" s="106"/>
      <c r="Q17" s="106"/>
      <c r="R17" s="106"/>
    </row>
    <row r="18" spans="1:1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H18" s="114"/>
      <c r="I18" s="114"/>
      <c r="K18" s="114"/>
      <c r="L18" s="114"/>
      <c r="N18" s="114"/>
      <c r="O18" s="114"/>
      <c r="Q18" s="114"/>
      <c r="R18" s="114"/>
    </row>
    <row r="19" spans="1:18" ht="15.75">
      <c r="A19" s="105" t="s">
        <v>692</v>
      </c>
      <c r="B19" s="105">
        <v>8113</v>
      </c>
      <c r="C19" s="117"/>
      <c r="D19" s="117"/>
      <c r="E19" s="117"/>
      <c r="H19" s="106">
        <v>20000000</v>
      </c>
      <c r="I19" s="106">
        <f>H19+F19</f>
        <v>20000000</v>
      </c>
      <c r="K19" s="106">
        <v>0</v>
      </c>
      <c r="L19" s="106">
        <f>K19+I19</f>
        <v>20000000</v>
      </c>
      <c r="N19" s="106">
        <v>0</v>
      </c>
      <c r="O19" s="106">
        <f>N19+L19</f>
        <v>20000000</v>
      </c>
      <c r="Q19" s="106">
        <v>0</v>
      </c>
      <c r="R19" s="106">
        <f t="shared" ref="R19:R24" si="0">Q19+O19</f>
        <v>20000000</v>
      </c>
    </row>
    <row r="20" spans="1:18" ht="15.75">
      <c r="A20" s="105" t="s">
        <v>693</v>
      </c>
      <c r="B20" s="105">
        <v>8114</v>
      </c>
      <c r="C20" s="117"/>
      <c r="D20" s="117"/>
      <c r="E20" s="117"/>
      <c r="H20" s="106">
        <v>-20000000</v>
      </c>
      <c r="I20" s="106">
        <f>H20+F20</f>
        <v>-20000000</v>
      </c>
      <c r="K20" s="106">
        <v>0</v>
      </c>
      <c r="L20" s="106">
        <f>K20+I20</f>
        <v>-20000000</v>
      </c>
      <c r="N20" s="106">
        <v>0</v>
      </c>
      <c r="O20" s="106">
        <f>N20+L20</f>
        <v>-20000000</v>
      </c>
      <c r="Q20" s="106">
        <v>0</v>
      </c>
      <c r="R20" s="106">
        <f t="shared" si="0"/>
        <v>-20000000</v>
      </c>
    </row>
    <row r="21" spans="1:18">
      <c r="A21" s="105" t="s">
        <v>280</v>
      </c>
      <c r="B21" s="105">
        <v>8115</v>
      </c>
      <c r="C21" s="106">
        <v>1026120</v>
      </c>
      <c r="D21" s="106">
        <v>992420</v>
      </c>
      <c r="E21" s="106">
        <v>762067</v>
      </c>
      <c r="H21" s="106">
        <v>620709</v>
      </c>
      <c r="I21" s="106">
        <v>127578</v>
      </c>
      <c r="K21" s="106">
        <v>1850000</v>
      </c>
      <c r="L21" s="106">
        <f>K21+127578</f>
        <v>1977578</v>
      </c>
      <c r="N21" s="106">
        <v>-372936</v>
      </c>
      <c r="O21" s="106">
        <f>N21+L21</f>
        <v>1604642</v>
      </c>
      <c r="Q21" s="106"/>
      <c r="R21" s="106">
        <f t="shared" si="0"/>
        <v>1604642</v>
      </c>
    </row>
    <row r="22" spans="1:18">
      <c r="A22" s="105" t="s">
        <v>362</v>
      </c>
      <c r="B22" s="105">
        <v>8115</v>
      </c>
      <c r="C22" s="106"/>
      <c r="D22" s="106">
        <v>0</v>
      </c>
      <c r="E22" s="106"/>
      <c r="F22" s="106">
        <v>-493131</v>
      </c>
      <c r="H22" s="106"/>
      <c r="I22" s="106">
        <v>0</v>
      </c>
      <c r="K22" s="106"/>
      <c r="L22" s="106">
        <v>0</v>
      </c>
      <c r="N22" s="106"/>
      <c r="O22" s="106">
        <v>0</v>
      </c>
      <c r="Q22" s="106">
        <v>-154320</v>
      </c>
      <c r="R22" s="106">
        <f t="shared" si="0"/>
        <v>-154320</v>
      </c>
    </row>
    <row r="23" spans="1:18">
      <c r="A23" s="105" t="s">
        <v>646</v>
      </c>
      <c r="B23" s="105">
        <v>8117</v>
      </c>
      <c r="C23" s="106">
        <v>1000000</v>
      </c>
      <c r="D23" s="106">
        <v>1000000</v>
      </c>
      <c r="E23" s="106"/>
      <c r="F23" s="106">
        <v>1000000</v>
      </c>
      <c r="H23" s="106">
        <v>-1000000</v>
      </c>
      <c r="I23" s="106">
        <f>H23+F23</f>
        <v>0</v>
      </c>
      <c r="K23" s="106"/>
      <c r="L23" s="106">
        <f>K23+I23</f>
        <v>0</v>
      </c>
      <c r="N23" s="106"/>
      <c r="O23" s="106">
        <f>N23+L23</f>
        <v>0</v>
      </c>
      <c r="Q23" s="106"/>
      <c r="R23" s="106">
        <f t="shared" si="0"/>
        <v>0</v>
      </c>
    </row>
    <row r="24" spans="1:18">
      <c r="A24" s="105" t="s">
        <v>647</v>
      </c>
      <c r="B24" s="105">
        <v>8118</v>
      </c>
      <c r="C24" s="106">
        <v>-1000000</v>
      </c>
      <c r="D24" s="106">
        <v>-1000000</v>
      </c>
      <c r="E24" s="106"/>
      <c r="F24" s="106">
        <v>-1000000</v>
      </c>
      <c r="H24" s="106">
        <v>1000000</v>
      </c>
      <c r="I24" s="106">
        <f>H24+F24</f>
        <v>0</v>
      </c>
      <c r="K24" s="106"/>
      <c r="L24" s="106">
        <f>K24+I24</f>
        <v>0</v>
      </c>
      <c r="N24" s="106"/>
      <c r="O24" s="106">
        <f>N24+L24</f>
        <v>0</v>
      </c>
      <c r="Q24" s="106"/>
      <c r="R24" s="106">
        <f t="shared" si="0"/>
        <v>0</v>
      </c>
    </row>
    <row r="25" spans="1:18">
      <c r="A25" s="105" t="s">
        <v>358</v>
      </c>
      <c r="B25" s="105">
        <v>8123</v>
      </c>
      <c r="C25" s="106"/>
      <c r="D25" s="106"/>
      <c r="E25" s="106"/>
      <c r="H25" s="413"/>
      <c r="I25" s="106"/>
      <c r="K25" s="413"/>
      <c r="L25" s="106"/>
      <c r="N25" s="413"/>
      <c r="O25" s="106"/>
      <c r="Q25" s="413"/>
      <c r="R25" s="106"/>
    </row>
    <row r="26" spans="1:18">
      <c r="A26" s="105" t="s">
        <v>577</v>
      </c>
      <c r="B26" s="105">
        <v>8124</v>
      </c>
      <c r="C26" s="106">
        <v>-241000</v>
      </c>
      <c r="D26" s="106">
        <v>-241000</v>
      </c>
      <c r="E26" s="106">
        <v>-240744</v>
      </c>
      <c r="F26" s="106">
        <v>-241000</v>
      </c>
      <c r="H26" s="106"/>
      <c r="I26" s="106">
        <f>H26+F26</f>
        <v>-241000</v>
      </c>
      <c r="K26" s="106"/>
      <c r="L26" s="106">
        <f>K26+I26</f>
        <v>-241000</v>
      </c>
      <c r="N26" s="106"/>
      <c r="O26" s="106">
        <f>N26+L26</f>
        <v>-241000</v>
      </c>
      <c r="Q26" s="106"/>
      <c r="R26" s="106">
        <f>Q26+O26</f>
        <v>-241000</v>
      </c>
    </row>
    <row r="27" spans="1:18" s="117" customFormat="1" ht="17.25" customHeight="1" thickBot="1">
      <c r="A27" s="115" t="s">
        <v>359</v>
      </c>
      <c r="B27" s="115"/>
      <c r="C27" s="116">
        <f>SUM(C21:C26)</f>
        <v>785120</v>
      </c>
      <c r="D27" s="116">
        <f t="shared" ref="D27:E27" si="1">SUM(D21:D26)</f>
        <v>751420</v>
      </c>
      <c r="E27" s="116">
        <f t="shared" si="1"/>
        <v>521323</v>
      </c>
      <c r="F27" s="116">
        <f>SUM(F19:F26)</f>
        <v>-734131</v>
      </c>
      <c r="H27" s="116">
        <f>SUM(H19:H26)</f>
        <v>620709</v>
      </c>
      <c r="I27" s="116">
        <f>SUM(I19:I26)</f>
        <v>-113422</v>
      </c>
      <c r="K27" s="116">
        <f>SUM(K19:K26)</f>
        <v>1850000</v>
      </c>
      <c r="L27" s="116">
        <f>SUM(L19:L26)</f>
        <v>1736578</v>
      </c>
      <c r="N27" s="116">
        <f>SUM(N19:N26)</f>
        <v>-372936</v>
      </c>
      <c r="O27" s="116">
        <f>SUM(O19:O26)</f>
        <v>1363642</v>
      </c>
      <c r="Q27" s="116">
        <f>SUM(Q19:Q26)</f>
        <v>-154320</v>
      </c>
      <c r="R27" s="116">
        <f>SUM(R19:R26)</f>
        <v>1209322</v>
      </c>
    </row>
    <row r="28" spans="1:18">
      <c r="H28" s="106"/>
      <c r="I28" s="106"/>
      <c r="K28" s="106"/>
      <c r="L28" s="106"/>
      <c r="N28" s="106"/>
      <c r="O28" s="106"/>
      <c r="Q28" s="106"/>
      <c r="R28" s="106"/>
    </row>
    <row r="29" spans="1:18" ht="15.75" thickBot="1">
      <c r="A29" s="109" t="s">
        <v>360</v>
      </c>
      <c r="B29" s="109"/>
      <c r="C29" s="110">
        <f>C9-C14+C27</f>
        <v>-9.999999962747097E-2</v>
      </c>
      <c r="D29" s="110">
        <f>D9-D14+D27</f>
        <v>-9527.0999999996275</v>
      </c>
      <c r="E29" s="110">
        <f>E9-E14+E27</f>
        <v>0.36999999824911356</v>
      </c>
      <c r="F29" s="110">
        <f>F9-F14+F27</f>
        <v>-0.40000000037252903</v>
      </c>
      <c r="H29" s="110">
        <f>H9-H14+H27</f>
        <v>-1.9999999552965164E-2</v>
      </c>
      <c r="I29" s="110">
        <f>I9-I14+I27</f>
        <v>-0.42000000178813934</v>
      </c>
      <c r="K29" s="110">
        <f>K9-K14+K27</f>
        <v>0</v>
      </c>
      <c r="L29" s="110">
        <f>L9-L14+L27</f>
        <v>-0.42000000178813934</v>
      </c>
      <c r="N29" s="110">
        <f>N9-N14+N27</f>
        <v>0</v>
      </c>
      <c r="O29" s="110">
        <f>O9-O14+O27</f>
        <v>-0.42000000178813934</v>
      </c>
      <c r="Q29" s="110">
        <f>Q9-Q14+Q27</f>
        <v>0</v>
      </c>
      <c r="R29" s="110">
        <f>R9-R14+R27</f>
        <v>0.17999999970197678</v>
      </c>
    </row>
    <row r="30" spans="1:18">
      <c r="C30" s="106"/>
      <c r="D30" s="106"/>
      <c r="E30" s="106"/>
    </row>
    <row r="31" spans="1:18">
      <c r="A31" s="104" t="s">
        <v>698</v>
      </c>
      <c r="B31" s="132"/>
      <c r="F31" s="104" t="s">
        <v>697</v>
      </c>
    </row>
    <row r="32" spans="1:18">
      <c r="A32" s="104" t="s">
        <v>705</v>
      </c>
      <c r="B32" s="132"/>
      <c r="F32" s="104" t="s">
        <v>704</v>
      </c>
    </row>
    <row r="33" spans="1:17">
      <c r="A33" s="104" t="s">
        <v>708</v>
      </c>
      <c r="B33" s="132"/>
      <c r="F33" s="104" t="s">
        <v>709</v>
      </c>
    </row>
    <row r="34" spans="1:17">
      <c r="A34" s="104" t="s">
        <v>712</v>
      </c>
      <c r="B34" s="132"/>
      <c r="F34" s="104" t="s">
        <v>713</v>
      </c>
    </row>
    <row r="35" spans="1:17">
      <c r="A35" s="104" t="s">
        <v>719</v>
      </c>
      <c r="B35" s="132"/>
      <c r="F35" s="104" t="s">
        <v>720</v>
      </c>
    </row>
    <row r="36" spans="1:17">
      <c r="A36" s="104"/>
      <c r="Q36" s="219" t="s">
        <v>461</v>
      </c>
    </row>
    <row r="37" spans="1:17" s="106" customFormat="1">
      <c r="A37" s="104"/>
      <c r="B37" s="132"/>
      <c r="C37" s="105"/>
      <c r="D37" s="105"/>
      <c r="G37" s="105"/>
      <c r="H37" s="219"/>
      <c r="I37" s="105"/>
      <c r="K37" s="219"/>
      <c r="L37" s="105"/>
      <c r="O37" s="105"/>
      <c r="Q37" s="219" t="s">
        <v>462</v>
      </c>
    </row>
    <row r="38" spans="1:17" s="106" customFormat="1">
      <c r="A38" s="104"/>
      <c r="B38" s="105"/>
      <c r="C38" s="105"/>
      <c r="D38" s="105"/>
      <c r="G38" s="105"/>
      <c r="H38" s="219"/>
      <c r="I38" s="105"/>
      <c r="K38" s="219"/>
      <c r="L38" s="105"/>
      <c r="O38" s="105"/>
    </row>
    <row r="39" spans="1:17" s="106" customFormat="1">
      <c r="A39" s="104" t="s">
        <v>382</v>
      </c>
      <c r="B39" s="105"/>
      <c r="C39" s="105"/>
      <c r="D39" s="105"/>
      <c r="E39" s="105"/>
      <c r="G39" s="105"/>
      <c r="H39" s="105"/>
      <c r="I39" s="105"/>
      <c r="K39" s="105"/>
      <c r="L39" s="105"/>
      <c r="N39" s="105"/>
      <c r="O39" s="105"/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CF26-0DB0-448A-8232-8972AF38B906}">
  <sheetPr>
    <tabColor rgb="FFFFFF00"/>
    <pageSetUpPr fitToPage="1"/>
  </sheetPr>
  <dimension ref="A1:O38"/>
  <sheetViews>
    <sheetView topLeftCell="D1" zoomScale="90" zoomScaleNormal="90" workbookViewId="0">
      <selection activeCell="L8" sqref="L8"/>
    </sheetView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3" width="19.5703125" style="105" customWidth="1"/>
    <col min="4" max="5" width="18.28515625" style="105" customWidth="1"/>
    <col min="6" max="6" width="18.28515625" style="106" customWidth="1"/>
    <col min="7" max="7" width="4" style="105" customWidth="1"/>
    <col min="8" max="8" width="17.28515625" style="105" hidden="1" customWidth="1" outlineLevel="1"/>
    <col min="9" max="9" width="19" style="105" hidden="1" customWidth="1" outlineLevel="1"/>
    <col min="10" max="10" width="3" style="105" customWidth="1" collapsed="1"/>
    <col min="11" max="11" width="17.28515625" style="105" customWidth="1"/>
    <col min="12" max="12" width="17.5703125" style="105" customWidth="1"/>
    <col min="13" max="13" width="2.85546875" style="105" customWidth="1"/>
    <col min="14" max="14" width="14.5703125" style="105" customWidth="1"/>
    <col min="15" max="15" width="17.5703125" style="105" customWidth="1"/>
    <col min="16" max="16" width="5.140625" style="105" customWidth="1"/>
    <col min="17" max="17" width="10.140625" style="105" customWidth="1"/>
    <col min="18" max="16384" width="9.140625" style="105"/>
  </cols>
  <sheetData>
    <row r="1" spans="1:15">
      <c r="F1" s="105"/>
    </row>
    <row r="2" spans="1:15" ht="23.25">
      <c r="A2" s="460" t="s">
        <v>699</v>
      </c>
      <c r="B2" s="460"/>
      <c r="C2" s="460"/>
      <c r="D2" s="460"/>
      <c r="E2" s="460"/>
      <c r="F2" s="460"/>
    </row>
    <row r="3" spans="1:15" ht="15.75">
      <c r="H3" s="117" t="s">
        <v>469</v>
      </c>
      <c r="I3" s="117"/>
      <c r="K3" s="117" t="s">
        <v>478</v>
      </c>
      <c r="L3" s="117"/>
      <c r="N3" s="117" t="s">
        <v>482</v>
      </c>
      <c r="O3" s="117"/>
    </row>
    <row r="4" spans="1:15" ht="31.5">
      <c r="A4" s="111" t="s">
        <v>263</v>
      </c>
      <c r="B4" s="111" t="s">
        <v>5</v>
      </c>
      <c r="C4" s="112" t="s">
        <v>657</v>
      </c>
      <c r="D4" s="112" t="s">
        <v>689</v>
      </c>
      <c r="E4" s="112" t="s">
        <v>690</v>
      </c>
      <c r="F4" s="112" t="s">
        <v>700</v>
      </c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</row>
    <row r="5" spans="1:15">
      <c r="A5" s="105" t="s">
        <v>265</v>
      </c>
      <c r="B5" s="105" t="s">
        <v>266</v>
      </c>
      <c r="C5" s="106">
        <f>Rozpis_Příjmy!DU22</f>
        <v>6763000</v>
      </c>
      <c r="D5" s="106">
        <f>Rozpis_Příjmy!EG22</f>
        <v>6727114</v>
      </c>
      <c r="E5" s="106">
        <f>Rozpis_Příjmy!EI22</f>
        <v>6594028.2300000004</v>
      </c>
      <c r="F5" s="106">
        <f>Rozpis_Příjmy!EK22</f>
        <v>6645800</v>
      </c>
      <c r="H5" s="106">
        <f>Rozpis_Příjmy!EM22</f>
        <v>47000</v>
      </c>
      <c r="I5" s="106">
        <f>Rozpis_Příjmy!EN22</f>
        <v>6692800</v>
      </c>
      <c r="K5" s="106">
        <f>Rozpis_Příjmy!ES22</f>
        <v>0</v>
      </c>
      <c r="L5" s="106">
        <f>Rozpis_Příjmy!ET22</f>
        <v>6692800</v>
      </c>
      <c r="N5" s="106">
        <f>Rozpis_Příjmy!EV22</f>
        <v>147000</v>
      </c>
      <c r="O5" s="106">
        <f>Rozpis_Příjmy!EW22</f>
        <v>6839800</v>
      </c>
    </row>
    <row r="6" spans="1:15">
      <c r="A6" s="105" t="s">
        <v>267</v>
      </c>
      <c r="B6" s="105" t="s">
        <v>268</v>
      </c>
      <c r="C6" s="106">
        <f>Rozpis_Příjmy!DU122</f>
        <v>430400</v>
      </c>
      <c r="D6" s="106">
        <f>Rozpis_Příjmy!EG122</f>
        <v>680083</v>
      </c>
      <c r="E6" s="106">
        <f>Rozpis_Příjmy!EI122</f>
        <v>792358.71</v>
      </c>
      <c r="F6" s="106">
        <f>Rozpis_Příjmy!EK122</f>
        <v>710800</v>
      </c>
      <c r="H6" s="106">
        <f>Rozpis_Příjmy!EM122</f>
        <v>439884.98</v>
      </c>
      <c r="I6" s="106">
        <f>Rozpis_Příjmy!EN122</f>
        <v>1150684.9799999997</v>
      </c>
      <c r="K6" s="106">
        <f>Rozpis_Příjmy!ES122</f>
        <v>0</v>
      </c>
      <c r="L6" s="106">
        <f>Rozpis_Příjmy!ET122</f>
        <v>1150684.9799999997</v>
      </c>
      <c r="N6" s="106">
        <f>Rozpis_Příjmy!EV122</f>
        <v>5785</v>
      </c>
      <c r="O6" s="106">
        <f>Rozpis_Příjmy!EW122</f>
        <v>1156469.9799999997</v>
      </c>
    </row>
    <row r="7" spans="1:15">
      <c r="A7" s="105" t="s">
        <v>269</v>
      </c>
      <c r="B7" s="105" t="s">
        <v>270</v>
      </c>
      <c r="C7" s="106">
        <f>Rozpis_Příjmy!DU99</f>
        <v>40000</v>
      </c>
      <c r="D7" s="106">
        <f>Rozpis_Příjmy!EG99</f>
        <v>82066</v>
      </c>
      <c r="E7" s="106">
        <f>Rozpis_Příjmy!EI99</f>
        <v>592</v>
      </c>
      <c r="F7" s="106">
        <f>Rozpis_Příjmy!EK99</f>
        <v>100000</v>
      </c>
      <c r="H7" s="106">
        <f>Rozpis_Příjmy!EM99</f>
        <v>0</v>
      </c>
      <c r="I7" s="106">
        <f>Rozpis_Příjmy!EN99</f>
        <v>100000</v>
      </c>
      <c r="K7" s="106">
        <f>Rozpis_Příjmy!ES99</f>
        <v>0</v>
      </c>
      <c r="L7" s="106">
        <f>Rozpis_Příjmy!ET99</f>
        <v>100000</v>
      </c>
      <c r="N7" s="106">
        <f>Rozpis_Příjmy!EV99</f>
        <v>-14649</v>
      </c>
      <c r="O7" s="106">
        <f>Rozpis_Příjmy!EW99</f>
        <v>85351</v>
      </c>
    </row>
    <row r="8" spans="1:15">
      <c r="A8" s="105" t="s">
        <v>271</v>
      </c>
      <c r="B8" s="105" t="s">
        <v>272</v>
      </c>
      <c r="C8" s="106">
        <f>Rozpis_Příjmy!DU35</f>
        <v>179700</v>
      </c>
      <c r="D8" s="106">
        <f>Rozpis_Příjmy!EG35</f>
        <v>318671</v>
      </c>
      <c r="E8" s="106">
        <f>Rozpis_Příjmy!EI35</f>
        <v>318671</v>
      </c>
      <c r="F8" s="106">
        <f>Rozpis_Příjmy!EK35</f>
        <v>80300</v>
      </c>
      <c r="H8" s="106">
        <f>Rozpis_Příjmy!EM35</f>
        <v>19111564.550000001</v>
      </c>
      <c r="I8" s="106">
        <f>Rozpis_Příjmy!EN35</f>
        <v>19191864.550000001</v>
      </c>
      <c r="K8" s="106">
        <f>Rozpis_Příjmy!ES35</f>
        <v>-1850000</v>
      </c>
      <c r="L8" s="106">
        <f>Rozpis_Příjmy!ET35</f>
        <v>17341864.550000001</v>
      </c>
      <c r="N8" s="106">
        <f>Rozpis_Příjmy!EV35</f>
        <v>42500</v>
      </c>
      <c r="O8" s="106">
        <f>Rozpis_Příjmy!EW35</f>
        <v>17384364.550000001</v>
      </c>
    </row>
    <row r="9" spans="1:15" s="117" customFormat="1" ht="16.5" thickBot="1">
      <c r="A9" s="115" t="s">
        <v>261</v>
      </c>
      <c r="B9" s="115"/>
      <c r="C9" s="116">
        <f>SUM(C5:C8)</f>
        <v>7413100</v>
      </c>
      <c r="D9" s="116">
        <f>SUM(D5:D8)</f>
        <v>7807934</v>
      </c>
      <c r="E9" s="116">
        <f>SUM(E5:E8)</f>
        <v>7705649.9400000004</v>
      </c>
      <c r="F9" s="116">
        <f>SUM(F5:F8)</f>
        <v>7536900</v>
      </c>
      <c r="H9" s="116">
        <f>SUM(H5:H8)</f>
        <v>19598449.530000001</v>
      </c>
      <c r="I9" s="116">
        <f>SUM(I5:I8)</f>
        <v>27135349.530000001</v>
      </c>
      <c r="K9" s="116">
        <f>SUM(K5:K8)</f>
        <v>-1850000</v>
      </c>
      <c r="L9" s="116">
        <f>SUM(L5:L8)</f>
        <v>25285349.530000001</v>
      </c>
      <c r="N9" s="116">
        <f>SUM(N5:N8)</f>
        <v>180636</v>
      </c>
      <c r="O9" s="116">
        <f>SUM(O5:O8)</f>
        <v>25465985.530000001</v>
      </c>
    </row>
    <row r="10" spans="1:15">
      <c r="H10" s="106"/>
      <c r="I10" s="106"/>
      <c r="K10" s="106"/>
      <c r="L10" s="106"/>
      <c r="N10" s="106"/>
      <c r="O10" s="106"/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H11" s="114"/>
      <c r="I11" s="114"/>
      <c r="K11" s="114"/>
      <c r="L11" s="114"/>
      <c r="N11" s="114"/>
      <c r="O11" s="114"/>
    </row>
    <row r="12" spans="1:15">
      <c r="A12" s="105" t="s">
        <v>274</v>
      </c>
      <c r="B12" s="105" t="s">
        <v>275</v>
      </c>
      <c r="C12" s="106">
        <f>Rozpis_Výdaje!EK350</f>
        <v>5939880.0999999996</v>
      </c>
      <c r="D12" s="106">
        <f>Rozpis_Výdaje!FR350</f>
        <v>6088441.0999999996</v>
      </c>
      <c r="E12" s="106">
        <f>Rozpis_Výdaje!FT350</f>
        <v>5823835.5100000016</v>
      </c>
      <c r="F12" s="106">
        <f>Rozpis_Výdaje!FV350</f>
        <v>5989469.4000000004</v>
      </c>
      <c r="H12" s="106">
        <f>Rozpis_Výdaje!GE350</f>
        <v>745126</v>
      </c>
      <c r="I12" s="106">
        <f>Rozpis_Výdaje!GF350</f>
        <v>6734595.4000000004</v>
      </c>
      <c r="K12" s="106">
        <f>Rozpis_Výdaje!GH350</f>
        <v>0</v>
      </c>
      <c r="L12" s="106">
        <f>Rozpis_Výdaje!GI350</f>
        <v>6734595.4000000004</v>
      </c>
      <c r="N12" s="106">
        <f>Rozpis_Výdaje!GQ350</f>
        <v>-169850</v>
      </c>
      <c r="O12" s="106">
        <f>Rozpis_Výdaje!GR350</f>
        <v>6564745.4000000004</v>
      </c>
    </row>
    <row r="13" spans="1:15">
      <c r="A13" s="105" t="s">
        <v>276</v>
      </c>
      <c r="B13" s="105" t="s">
        <v>277</v>
      </c>
      <c r="C13" s="106">
        <f>Rozpis_Výdaje!EK353</f>
        <v>2258340</v>
      </c>
      <c r="D13" s="106">
        <f>Rozpis_Výdaje!FR353</f>
        <v>2480440</v>
      </c>
      <c r="E13" s="106">
        <f>Rozpis_Výdaje!FT353</f>
        <v>2403137.06</v>
      </c>
      <c r="F13" s="106">
        <f>Rozpis_Výdaje!FV353</f>
        <v>813300</v>
      </c>
      <c r="G13" s="105" t="s">
        <v>457</v>
      </c>
      <c r="H13" s="106">
        <f>Rozpis_Výdaje!GE353</f>
        <v>19474032.550000001</v>
      </c>
      <c r="I13" s="106">
        <f>Rozpis_Výdaje!GF353</f>
        <v>20287332.550000001</v>
      </c>
      <c r="K13" s="106">
        <f>Rozpis_Výdaje!GH353</f>
        <v>0</v>
      </c>
      <c r="L13" s="106">
        <f>Rozpis_Výdaje!GI353</f>
        <v>20287332.550000001</v>
      </c>
      <c r="N13" s="106">
        <f>Rozpis_Výdaje!GQ353</f>
        <v>-22450</v>
      </c>
      <c r="O13" s="106">
        <f>Rozpis_Výdaje!GR353</f>
        <v>20264882.550000001</v>
      </c>
    </row>
    <row r="14" spans="1:15" s="117" customFormat="1" ht="16.5" thickBot="1">
      <c r="A14" s="115" t="s">
        <v>262</v>
      </c>
      <c r="B14" s="115"/>
      <c r="C14" s="116">
        <f>C12+C13</f>
        <v>8198220.0999999996</v>
      </c>
      <c r="D14" s="116">
        <f>D12+D13</f>
        <v>8568881.0999999996</v>
      </c>
      <c r="E14" s="116">
        <f>E12+E13</f>
        <v>8226972.5700000022</v>
      </c>
      <c r="F14" s="116">
        <f>F12+F13</f>
        <v>6802769.4000000004</v>
      </c>
      <c r="H14" s="116">
        <f>H12+H13</f>
        <v>20219158.550000001</v>
      </c>
      <c r="I14" s="116">
        <f>I12+I13</f>
        <v>27021927.950000003</v>
      </c>
      <c r="K14" s="116">
        <f>K12+K13</f>
        <v>0</v>
      </c>
      <c r="L14" s="116">
        <f>L12+L13</f>
        <v>27021927.950000003</v>
      </c>
      <c r="N14" s="116">
        <f>N12+N13</f>
        <v>-192300</v>
      </c>
      <c r="O14" s="116">
        <f>O12+O13</f>
        <v>26829627.950000003</v>
      </c>
    </row>
    <row r="15" spans="1:15">
      <c r="H15" s="106"/>
      <c r="I15" s="106"/>
      <c r="K15" s="106"/>
      <c r="L15" s="106"/>
      <c r="N15" s="106"/>
      <c r="O15" s="106"/>
    </row>
    <row r="16" spans="1:15" ht="15.75" thickBot="1">
      <c r="A16" s="107" t="s">
        <v>278</v>
      </c>
      <c r="B16" s="107"/>
      <c r="C16" s="108">
        <f>C9-C14</f>
        <v>-785120.09999999963</v>
      </c>
      <c r="D16" s="108">
        <f>D9-D14</f>
        <v>-760947.09999999963</v>
      </c>
      <c r="E16" s="108">
        <f>E9-E14</f>
        <v>-521322.63000000175</v>
      </c>
      <c r="F16" s="108">
        <f>F9-F14</f>
        <v>734130.59999999963</v>
      </c>
      <c r="H16" s="108">
        <f>H9-H14</f>
        <v>-620709.01999999955</v>
      </c>
      <c r="I16" s="108">
        <f>I9-I14</f>
        <v>113421.57999999821</v>
      </c>
      <c r="K16" s="108">
        <f>K9-K14</f>
        <v>-1850000</v>
      </c>
      <c r="L16" s="108">
        <f>L9-L14</f>
        <v>-1736578.4200000018</v>
      </c>
      <c r="M16" s="106"/>
      <c r="N16" s="108">
        <f>N9-N14</f>
        <v>372936</v>
      </c>
      <c r="O16" s="108">
        <f>O9-O14</f>
        <v>-1363642.4200000018</v>
      </c>
    </row>
    <row r="17" spans="1:15">
      <c r="H17" s="106"/>
      <c r="I17" s="106"/>
      <c r="K17" s="106"/>
      <c r="L17" s="106"/>
      <c r="M17" s="106"/>
      <c r="N17" s="106"/>
      <c r="O17" s="106"/>
    </row>
    <row r="18" spans="1:15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H18" s="114"/>
      <c r="I18" s="114"/>
      <c r="K18" s="114"/>
      <c r="L18" s="114"/>
      <c r="N18" s="114"/>
      <c r="O18" s="114"/>
    </row>
    <row r="19" spans="1:15" ht="15.75">
      <c r="A19" s="105" t="s">
        <v>692</v>
      </c>
      <c r="B19" s="105">
        <v>8113</v>
      </c>
      <c r="C19" s="117"/>
      <c r="D19" s="117"/>
      <c r="E19" s="117"/>
      <c r="H19" s="106">
        <v>20000000</v>
      </c>
      <c r="I19" s="106">
        <f>H19+F19</f>
        <v>20000000</v>
      </c>
      <c r="K19" s="106">
        <v>0</v>
      </c>
      <c r="L19" s="106">
        <f>K19+I19</f>
        <v>20000000</v>
      </c>
      <c r="N19" s="106">
        <v>0</v>
      </c>
      <c r="O19" s="106">
        <f>N19+L19</f>
        <v>20000000</v>
      </c>
    </row>
    <row r="20" spans="1:15" ht="15.75">
      <c r="A20" s="105" t="s">
        <v>693</v>
      </c>
      <c r="B20" s="105">
        <v>8114</v>
      </c>
      <c r="C20" s="117"/>
      <c r="D20" s="117"/>
      <c r="E20" s="117"/>
      <c r="H20" s="106">
        <v>-20000000</v>
      </c>
      <c r="I20" s="106">
        <f>H20+F20</f>
        <v>-20000000</v>
      </c>
      <c r="K20" s="106">
        <v>0</v>
      </c>
      <c r="L20" s="106">
        <f>K20+I20</f>
        <v>-20000000</v>
      </c>
      <c r="N20" s="106">
        <v>0</v>
      </c>
      <c r="O20" s="106">
        <f>N20+L20</f>
        <v>-20000000</v>
      </c>
    </row>
    <row r="21" spans="1:15">
      <c r="A21" s="105" t="s">
        <v>280</v>
      </c>
      <c r="B21" s="105">
        <v>8115</v>
      </c>
      <c r="C21" s="106">
        <v>1026120</v>
      </c>
      <c r="D21" s="106">
        <v>992420</v>
      </c>
      <c r="E21" s="106">
        <v>762067</v>
      </c>
      <c r="H21" s="106">
        <v>620709</v>
      </c>
      <c r="I21" s="106">
        <v>127578</v>
      </c>
      <c r="K21" s="106">
        <v>1850000</v>
      </c>
      <c r="L21" s="106">
        <f>K21+127578</f>
        <v>1977578</v>
      </c>
      <c r="N21" s="106">
        <v>-372936</v>
      </c>
      <c r="O21" s="106">
        <f>N21+L21</f>
        <v>1604642</v>
      </c>
    </row>
    <row r="22" spans="1:15">
      <c r="A22" s="105" t="s">
        <v>362</v>
      </c>
      <c r="B22" s="105">
        <v>8115</v>
      </c>
      <c r="C22" s="106"/>
      <c r="D22" s="106">
        <v>0</v>
      </c>
      <c r="E22" s="106"/>
      <c r="F22" s="106">
        <v>-493131</v>
      </c>
      <c r="H22" s="106"/>
      <c r="I22" s="106">
        <v>0</v>
      </c>
      <c r="K22" s="106"/>
      <c r="L22" s="106">
        <v>0</v>
      </c>
      <c r="N22" s="106"/>
      <c r="O22" s="106">
        <v>0</v>
      </c>
    </row>
    <row r="23" spans="1:15">
      <c r="A23" s="105" t="s">
        <v>646</v>
      </c>
      <c r="B23" s="105">
        <v>8117</v>
      </c>
      <c r="C23" s="106">
        <v>1000000</v>
      </c>
      <c r="D23" s="106">
        <v>1000000</v>
      </c>
      <c r="E23" s="106"/>
      <c r="F23" s="106">
        <v>1000000</v>
      </c>
      <c r="H23" s="106">
        <v>-1000000</v>
      </c>
      <c r="I23" s="106">
        <f>H23+F23</f>
        <v>0</v>
      </c>
      <c r="K23" s="106"/>
      <c r="L23" s="106">
        <f>K23+I23</f>
        <v>0</v>
      </c>
      <c r="N23" s="106"/>
      <c r="O23" s="106">
        <f>N23+L23</f>
        <v>0</v>
      </c>
    </row>
    <row r="24" spans="1:15">
      <c r="A24" s="105" t="s">
        <v>647</v>
      </c>
      <c r="B24" s="105">
        <v>8118</v>
      </c>
      <c r="C24" s="106">
        <v>-1000000</v>
      </c>
      <c r="D24" s="106">
        <v>-1000000</v>
      </c>
      <c r="E24" s="106"/>
      <c r="F24" s="106">
        <v>-1000000</v>
      </c>
      <c r="H24" s="106">
        <v>1000000</v>
      </c>
      <c r="I24" s="106">
        <f>H24+F24</f>
        <v>0</v>
      </c>
      <c r="K24" s="106"/>
      <c r="L24" s="106">
        <f>K24+I24</f>
        <v>0</v>
      </c>
      <c r="N24" s="106"/>
      <c r="O24" s="106">
        <f>N24+L24</f>
        <v>0</v>
      </c>
    </row>
    <row r="25" spans="1:15">
      <c r="A25" s="105" t="s">
        <v>358</v>
      </c>
      <c r="B25" s="105">
        <v>8123</v>
      </c>
      <c r="C25" s="106"/>
      <c r="D25" s="106"/>
      <c r="E25" s="106"/>
      <c r="H25" s="413"/>
      <c r="I25" s="106"/>
      <c r="K25" s="413"/>
      <c r="L25" s="106"/>
      <c r="N25" s="413"/>
      <c r="O25" s="106"/>
    </row>
    <row r="26" spans="1:15">
      <c r="A26" s="105" t="s">
        <v>577</v>
      </c>
      <c r="B26" s="105">
        <v>8124</v>
      </c>
      <c r="C26" s="106">
        <v>-241000</v>
      </c>
      <c r="D26" s="106">
        <v>-241000</v>
      </c>
      <c r="E26" s="106">
        <v>-240744</v>
      </c>
      <c r="F26" s="106">
        <v>-241000</v>
      </c>
      <c r="H26" s="106"/>
      <c r="I26" s="106">
        <f>H26+F26</f>
        <v>-241000</v>
      </c>
      <c r="K26" s="106"/>
      <c r="L26" s="106">
        <f>K26+I26</f>
        <v>-241000</v>
      </c>
      <c r="N26" s="106"/>
      <c r="O26" s="106">
        <f>N26+L26</f>
        <v>-241000</v>
      </c>
    </row>
    <row r="27" spans="1:15" s="117" customFormat="1" ht="17.25" customHeight="1" thickBot="1">
      <c r="A27" s="115" t="s">
        <v>359</v>
      </c>
      <c r="B27" s="115"/>
      <c r="C27" s="116">
        <f>SUM(C21:C26)</f>
        <v>785120</v>
      </c>
      <c r="D27" s="116">
        <f t="shared" ref="D27:E27" si="0">SUM(D21:D26)</f>
        <v>751420</v>
      </c>
      <c r="E27" s="116">
        <f t="shared" si="0"/>
        <v>521323</v>
      </c>
      <c r="F27" s="116">
        <f>SUM(F19:F26)</f>
        <v>-734131</v>
      </c>
      <c r="H27" s="116">
        <f>SUM(H19:H26)</f>
        <v>620709</v>
      </c>
      <c r="I27" s="116">
        <f>SUM(I19:I26)</f>
        <v>-113422</v>
      </c>
      <c r="K27" s="116">
        <f>SUM(K19:K26)</f>
        <v>1850000</v>
      </c>
      <c r="L27" s="116">
        <f>SUM(L19:L26)</f>
        <v>1736578</v>
      </c>
      <c r="N27" s="116">
        <f>SUM(N19:N26)</f>
        <v>-372936</v>
      </c>
      <c r="O27" s="116">
        <f>SUM(O19:O26)</f>
        <v>1363642</v>
      </c>
    </row>
    <row r="28" spans="1:15">
      <c r="H28" s="106"/>
      <c r="I28" s="106"/>
      <c r="K28" s="106"/>
      <c r="L28" s="106"/>
      <c r="N28" s="106"/>
      <c r="O28" s="106"/>
    </row>
    <row r="29" spans="1:15" ht="15.75" thickBot="1">
      <c r="A29" s="109" t="s">
        <v>360</v>
      </c>
      <c r="B29" s="109"/>
      <c r="C29" s="110">
        <f>C9-C14+C27</f>
        <v>-9.999999962747097E-2</v>
      </c>
      <c r="D29" s="110">
        <f>D9-D14+D27</f>
        <v>-9527.0999999996275</v>
      </c>
      <c r="E29" s="110">
        <f>E9-E14+E27</f>
        <v>0.36999999824911356</v>
      </c>
      <c r="F29" s="110">
        <f>F9-F14+F27</f>
        <v>-0.40000000037252903</v>
      </c>
      <c r="H29" s="110">
        <f>H9-H14+H27</f>
        <v>-1.9999999552965164E-2</v>
      </c>
      <c r="I29" s="110">
        <f>I9-I14+I27</f>
        <v>-0.42000000178813934</v>
      </c>
      <c r="K29" s="110">
        <f>K9-K14+K27</f>
        <v>0</v>
      </c>
      <c r="L29" s="110">
        <f>L9-L14+L27</f>
        <v>-0.42000000178813934</v>
      </c>
      <c r="N29" s="110">
        <f>N9-N14+N27</f>
        <v>0</v>
      </c>
      <c r="O29" s="110">
        <f>O9-O14+O27</f>
        <v>-0.42000000178813934</v>
      </c>
    </row>
    <row r="30" spans="1:15">
      <c r="C30" s="106"/>
      <c r="D30" s="106"/>
      <c r="E30" s="106"/>
    </row>
    <row r="31" spans="1:15">
      <c r="A31" s="104" t="s">
        <v>698</v>
      </c>
      <c r="B31" s="132"/>
      <c r="F31" s="104" t="s">
        <v>697</v>
      </c>
    </row>
    <row r="32" spans="1:15">
      <c r="A32" s="104" t="s">
        <v>705</v>
      </c>
      <c r="B32" s="132"/>
      <c r="F32" s="104" t="s">
        <v>704</v>
      </c>
    </row>
    <row r="33" spans="1:15">
      <c r="A33" s="104" t="s">
        <v>708</v>
      </c>
      <c r="B33" s="132"/>
      <c r="F33" s="104" t="s">
        <v>709</v>
      </c>
    </row>
    <row r="34" spans="1:15">
      <c r="A34" s="104" t="s">
        <v>712</v>
      </c>
      <c r="B34" s="132"/>
      <c r="F34" s="104" t="s">
        <v>713</v>
      </c>
    </row>
    <row r="35" spans="1:15">
      <c r="A35" s="104"/>
    </row>
    <row r="36" spans="1:15" s="106" customFormat="1">
      <c r="A36" s="104"/>
      <c r="B36" s="132"/>
      <c r="C36" s="105"/>
      <c r="D36" s="105"/>
      <c r="G36" s="105"/>
      <c r="H36" s="219"/>
      <c r="I36" s="105"/>
      <c r="K36" s="219"/>
      <c r="L36" s="105"/>
      <c r="N36" s="219" t="s">
        <v>461</v>
      </c>
      <c r="O36" s="105"/>
    </row>
    <row r="37" spans="1:15" s="106" customFormat="1">
      <c r="A37" s="104"/>
      <c r="B37" s="105"/>
      <c r="C37" s="105"/>
      <c r="D37" s="105"/>
      <c r="G37" s="105"/>
      <c r="H37" s="219"/>
      <c r="I37" s="105"/>
      <c r="K37" s="219"/>
      <c r="L37" s="105"/>
      <c r="N37" s="219" t="s">
        <v>462</v>
      </c>
      <c r="O37" s="105"/>
    </row>
    <row r="38" spans="1:15" s="106" customFormat="1">
      <c r="A38" s="104" t="s">
        <v>382</v>
      </c>
      <c r="B38" s="105"/>
      <c r="C38" s="105"/>
      <c r="D38" s="105"/>
      <c r="E38" s="105"/>
      <c r="G38" s="105"/>
      <c r="H38" s="105"/>
      <c r="I38" s="105"/>
      <c r="K38" s="105"/>
      <c r="L38" s="105"/>
      <c r="N38" s="105"/>
      <c r="O38" s="105"/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9E5C-F761-453A-ACA8-EC5BCDE1AEC9}">
  <sheetPr>
    <tabColor rgb="FFFFFF00"/>
    <pageSetUpPr fitToPage="1"/>
  </sheetPr>
  <dimension ref="A1:N37"/>
  <sheetViews>
    <sheetView topLeftCell="F3" zoomScale="90" zoomScaleNormal="90" workbookViewId="0">
      <selection activeCell="L8" sqref="L8"/>
    </sheetView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3" width="19.5703125" style="105" customWidth="1"/>
    <col min="4" max="5" width="18.28515625" style="105" customWidth="1"/>
    <col min="6" max="6" width="18.28515625" style="106" customWidth="1"/>
    <col min="7" max="7" width="4" style="105" customWidth="1"/>
    <col min="8" max="8" width="17.28515625" style="105" customWidth="1" outlineLevel="1"/>
    <col min="9" max="9" width="19" style="105" customWidth="1" outlineLevel="1"/>
    <col min="10" max="10" width="3" style="105" customWidth="1"/>
    <col min="11" max="11" width="17.28515625" style="105" customWidth="1"/>
    <col min="12" max="12" width="17.5703125" style="105" customWidth="1"/>
    <col min="13" max="13" width="11.42578125" style="105" bestFit="1" customWidth="1"/>
    <col min="14" max="14" width="9.5703125" style="105" bestFit="1" customWidth="1"/>
    <col min="15" max="16384" width="9.140625" style="105"/>
  </cols>
  <sheetData>
    <row r="1" spans="1:14">
      <c r="F1" s="105"/>
    </row>
    <row r="2" spans="1:14" ht="23.25">
      <c r="A2" s="460" t="s">
        <v>699</v>
      </c>
      <c r="B2" s="460"/>
      <c r="C2" s="460"/>
      <c r="D2" s="460"/>
      <c r="E2" s="460"/>
      <c r="F2" s="460"/>
    </row>
    <row r="3" spans="1:14" ht="15.75">
      <c r="H3" s="117" t="s">
        <v>469</v>
      </c>
      <c r="I3" s="117"/>
      <c r="K3" s="117" t="s">
        <v>478</v>
      </c>
      <c r="L3" s="117"/>
    </row>
    <row r="4" spans="1:14" ht="31.5">
      <c r="A4" s="111" t="s">
        <v>263</v>
      </c>
      <c r="B4" s="111" t="s">
        <v>5</v>
      </c>
      <c r="C4" s="112" t="s">
        <v>657</v>
      </c>
      <c r="D4" s="112" t="s">
        <v>689</v>
      </c>
      <c r="E4" s="112" t="s">
        <v>690</v>
      </c>
      <c r="F4" s="112" t="s">
        <v>700</v>
      </c>
      <c r="H4" s="222" t="s">
        <v>472</v>
      </c>
      <c r="I4" s="222" t="s">
        <v>473</v>
      </c>
      <c r="K4" s="222" t="s">
        <v>472</v>
      </c>
      <c r="L4" s="222" t="s">
        <v>473</v>
      </c>
    </row>
    <row r="5" spans="1:14">
      <c r="A5" s="105" t="s">
        <v>265</v>
      </c>
      <c r="B5" s="105" t="s">
        <v>266</v>
      </c>
      <c r="C5" s="106">
        <f>Rozpis_Příjmy!DU22</f>
        <v>6763000</v>
      </c>
      <c r="D5" s="106">
        <f>Rozpis_Příjmy!EG22</f>
        <v>6727114</v>
      </c>
      <c r="E5" s="106">
        <f>Rozpis_Příjmy!EI22</f>
        <v>6594028.2300000004</v>
      </c>
      <c r="F5" s="106">
        <f>Rozpis_Příjmy!EK22</f>
        <v>6645800</v>
      </c>
      <c r="H5" s="106">
        <f>Rozpis_Příjmy!EM22</f>
        <v>47000</v>
      </c>
      <c r="I5" s="106">
        <f>Rozpis_Příjmy!EN22</f>
        <v>6692800</v>
      </c>
      <c r="K5" s="106">
        <f>Rozpis_Příjmy!ES22</f>
        <v>0</v>
      </c>
      <c r="L5" s="106">
        <f>Rozpis_Příjmy!ET22</f>
        <v>6692800</v>
      </c>
    </row>
    <row r="6" spans="1:14">
      <c r="A6" s="105" t="s">
        <v>267</v>
      </c>
      <c r="B6" s="105" t="s">
        <v>268</v>
      </c>
      <c r="C6" s="106">
        <f>Rozpis_Příjmy!DU122</f>
        <v>430400</v>
      </c>
      <c r="D6" s="106">
        <f>Rozpis_Příjmy!EG122</f>
        <v>680083</v>
      </c>
      <c r="E6" s="106">
        <f>Rozpis_Příjmy!EI122</f>
        <v>792358.71</v>
      </c>
      <c r="F6" s="106">
        <f>Rozpis_Příjmy!EK122</f>
        <v>710800</v>
      </c>
      <c r="H6" s="106">
        <f>Rozpis_Příjmy!EM122</f>
        <v>439884.98</v>
      </c>
      <c r="I6" s="106">
        <f>Rozpis_Příjmy!EN122</f>
        <v>1150684.9799999997</v>
      </c>
      <c r="K6" s="106">
        <f>Rozpis_Příjmy!ES122</f>
        <v>0</v>
      </c>
      <c r="L6" s="106">
        <f>Rozpis_Příjmy!ET122</f>
        <v>1150684.9799999997</v>
      </c>
    </row>
    <row r="7" spans="1:14">
      <c r="A7" s="105" t="s">
        <v>269</v>
      </c>
      <c r="B7" s="105" t="s">
        <v>270</v>
      </c>
      <c r="C7" s="106">
        <f>Rozpis_Příjmy!DU99</f>
        <v>40000</v>
      </c>
      <c r="D7" s="106">
        <f>Rozpis_Příjmy!EG99</f>
        <v>82066</v>
      </c>
      <c r="E7" s="106">
        <f>Rozpis_Příjmy!EI99</f>
        <v>592</v>
      </c>
      <c r="F7" s="106">
        <f>Rozpis_Příjmy!EK99</f>
        <v>100000</v>
      </c>
      <c r="H7" s="106">
        <f>Rozpis_Příjmy!EM99</f>
        <v>0</v>
      </c>
      <c r="I7" s="106">
        <f>Rozpis_Příjmy!EN99</f>
        <v>100000</v>
      </c>
      <c r="K7" s="106">
        <f>Rozpis_Příjmy!ES99</f>
        <v>0</v>
      </c>
      <c r="L7" s="106">
        <f>Rozpis_Příjmy!ET99</f>
        <v>100000</v>
      </c>
    </row>
    <row r="8" spans="1:14">
      <c r="A8" s="105" t="s">
        <v>271</v>
      </c>
      <c r="B8" s="105" t="s">
        <v>272</v>
      </c>
      <c r="C8" s="106">
        <f>Rozpis_Příjmy!DU35</f>
        <v>179700</v>
      </c>
      <c r="D8" s="106">
        <f>Rozpis_Příjmy!EG35</f>
        <v>318671</v>
      </c>
      <c r="E8" s="106">
        <f>Rozpis_Příjmy!EI35</f>
        <v>318671</v>
      </c>
      <c r="F8" s="106">
        <f>Rozpis_Příjmy!EK35</f>
        <v>80300</v>
      </c>
      <c r="H8" s="106">
        <f>Rozpis_Příjmy!EM35</f>
        <v>19111564.550000001</v>
      </c>
      <c r="I8" s="106">
        <f>Rozpis_Příjmy!EN35</f>
        <v>19191864.550000001</v>
      </c>
      <c r="K8" s="106">
        <f>Rozpis_Příjmy!ES35</f>
        <v>-1850000</v>
      </c>
      <c r="L8" s="106">
        <f>Rozpis_Příjmy!ET35</f>
        <v>17341864.550000001</v>
      </c>
      <c r="N8" s="106"/>
    </row>
    <row r="9" spans="1:14" s="117" customFormat="1" ht="16.5" thickBot="1">
      <c r="A9" s="115" t="s">
        <v>261</v>
      </c>
      <c r="B9" s="115"/>
      <c r="C9" s="116">
        <f>SUM(C5:C8)</f>
        <v>7413100</v>
      </c>
      <c r="D9" s="116">
        <f>SUM(D5:D8)</f>
        <v>7807934</v>
      </c>
      <c r="E9" s="116">
        <f>SUM(E5:E8)</f>
        <v>7705649.9400000004</v>
      </c>
      <c r="F9" s="116">
        <f>SUM(F5:F8)</f>
        <v>7536900</v>
      </c>
      <c r="H9" s="116">
        <f>SUM(H5:H8)</f>
        <v>19598449.530000001</v>
      </c>
      <c r="I9" s="116">
        <f>SUM(I5:I8)</f>
        <v>27135349.530000001</v>
      </c>
      <c r="K9" s="116">
        <f>SUM(K5:K8)</f>
        <v>-1850000</v>
      </c>
      <c r="L9" s="116">
        <f>SUM(L5:L8)</f>
        <v>25285349.530000001</v>
      </c>
    </row>
    <row r="10" spans="1:14">
      <c r="H10" s="106"/>
      <c r="I10" s="106"/>
      <c r="K10" s="106"/>
      <c r="L10" s="106"/>
    </row>
    <row r="11" spans="1:14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H11" s="114"/>
      <c r="I11" s="114"/>
      <c r="K11" s="114"/>
      <c r="L11" s="114"/>
    </row>
    <row r="12" spans="1:14">
      <c r="A12" s="105" t="s">
        <v>274</v>
      </c>
      <c r="B12" s="105" t="s">
        <v>275</v>
      </c>
      <c r="C12" s="106">
        <f>Rozpis_Výdaje!EK350</f>
        <v>5939880.0999999996</v>
      </c>
      <c r="D12" s="106">
        <f>Rozpis_Výdaje!FR350</f>
        <v>6088441.0999999996</v>
      </c>
      <c r="E12" s="106">
        <f>Rozpis_Výdaje!FT350</f>
        <v>5823835.5100000016</v>
      </c>
      <c r="F12" s="106">
        <f>Rozpis_Výdaje!FV350</f>
        <v>5989469.4000000004</v>
      </c>
      <c r="H12" s="106">
        <f>Rozpis_Výdaje!GE350</f>
        <v>745126</v>
      </c>
      <c r="I12" s="106">
        <f>Rozpis_Výdaje!GF350</f>
        <v>6734595.4000000004</v>
      </c>
      <c r="K12" s="106">
        <f>Rozpis_Výdaje!GH350</f>
        <v>0</v>
      </c>
      <c r="L12" s="106">
        <f>Rozpis_Výdaje!GI350</f>
        <v>6734595.4000000004</v>
      </c>
    </row>
    <row r="13" spans="1:14">
      <c r="A13" s="105" t="s">
        <v>276</v>
      </c>
      <c r="B13" s="105" t="s">
        <v>277</v>
      </c>
      <c r="C13" s="106">
        <f>Rozpis_Výdaje!EK353</f>
        <v>2258340</v>
      </c>
      <c r="D13" s="106">
        <f>Rozpis_Výdaje!FR353</f>
        <v>2480440</v>
      </c>
      <c r="E13" s="106">
        <f>Rozpis_Výdaje!FT353</f>
        <v>2403137.06</v>
      </c>
      <c r="F13" s="106">
        <f>Rozpis_Výdaje!FV353</f>
        <v>813300</v>
      </c>
      <c r="G13" s="105" t="s">
        <v>457</v>
      </c>
      <c r="H13" s="106">
        <f>Rozpis_Výdaje!GE353</f>
        <v>19474032.550000001</v>
      </c>
      <c r="I13" s="106">
        <f>Rozpis_Výdaje!GF353</f>
        <v>20287332.550000001</v>
      </c>
      <c r="K13" s="106">
        <f>Rozpis_Výdaje!GH353</f>
        <v>0</v>
      </c>
      <c r="L13" s="106">
        <f>Rozpis_Výdaje!GI353</f>
        <v>20287332.550000001</v>
      </c>
    </row>
    <row r="14" spans="1:14" s="117" customFormat="1" ht="16.5" thickBot="1">
      <c r="A14" s="115" t="s">
        <v>262</v>
      </c>
      <c r="B14" s="115"/>
      <c r="C14" s="116">
        <f>C12+C13</f>
        <v>8198220.0999999996</v>
      </c>
      <c r="D14" s="116">
        <f>D12+D13</f>
        <v>8568881.0999999996</v>
      </c>
      <c r="E14" s="116">
        <f>E12+E13</f>
        <v>8226972.5700000022</v>
      </c>
      <c r="F14" s="116">
        <f>F12+F13</f>
        <v>6802769.4000000004</v>
      </c>
      <c r="H14" s="116">
        <f>H12+H13</f>
        <v>20219158.550000001</v>
      </c>
      <c r="I14" s="116">
        <f>I12+I13</f>
        <v>27021927.950000003</v>
      </c>
      <c r="K14" s="116">
        <f>K12+K13</f>
        <v>0</v>
      </c>
      <c r="L14" s="116">
        <f>L12+L13</f>
        <v>27021927.950000003</v>
      </c>
    </row>
    <row r="15" spans="1:14">
      <c r="H15" s="106"/>
      <c r="I15" s="106"/>
      <c r="K15" s="106"/>
      <c r="L15" s="106"/>
    </row>
    <row r="16" spans="1:14" ht="15.75" thickBot="1">
      <c r="A16" s="107" t="s">
        <v>278</v>
      </c>
      <c r="B16" s="107"/>
      <c r="C16" s="108">
        <f>C9-C14</f>
        <v>-785120.09999999963</v>
      </c>
      <c r="D16" s="108">
        <f>D9-D14</f>
        <v>-760947.09999999963</v>
      </c>
      <c r="E16" s="108">
        <f>E9-E14</f>
        <v>-521322.63000000175</v>
      </c>
      <c r="F16" s="108">
        <f>F9-F14</f>
        <v>734130.59999999963</v>
      </c>
      <c r="H16" s="108">
        <f>H9-H14</f>
        <v>-620709.01999999955</v>
      </c>
      <c r="I16" s="108">
        <f>I9-I14</f>
        <v>113421.57999999821</v>
      </c>
      <c r="K16" s="108">
        <f>K9-K14</f>
        <v>-1850000</v>
      </c>
      <c r="L16" s="108">
        <f>L9-L14</f>
        <v>-1736578.4200000018</v>
      </c>
      <c r="M16" s="106"/>
    </row>
    <row r="17" spans="1:13">
      <c r="H17" s="106"/>
      <c r="I17" s="106"/>
      <c r="K17" s="106"/>
      <c r="L17" s="106"/>
      <c r="M17" s="106"/>
    </row>
    <row r="18" spans="1:13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H18" s="114"/>
      <c r="I18" s="114"/>
      <c r="K18" s="114"/>
      <c r="L18" s="114"/>
    </row>
    <row r="19" spans="1:13" ht="15.75">
      <c r="A19" s="105" t="s">
        <v>692</v>
      </c>
      <c r="B19" s="105">
        <v>8113</v>
      </c>
      <c r="C19" s="117"/>
      <c r="D19" s="117"/>
      <c r="E19" s="117"/>
      <c r="H19" s="106">
        <v>20000000</v>
      </c>
      <c r="I19" s="106">
        <f>H19+F19</f>
        <v>20000000</v>
      </c>
      <c r="K19" s="106">
        <v>0</v>
      </c>
      <c r="L19" s="106">
        <f>K19+I19</f>
        <v>20000000</v>
      </c>
    </row>
    <row r="20" spans="1:13" ht="15.75">
      <c r="A20" s="105" t="s">
        <v>693</v>
      </c>
      <c r="B20" s="105">
        <v>8114</v>
      </c>
      <c r="C20" s="117"/>
      <c r="D20" s="117"/>
      <c r="E20" s="117"/>
      <c r="H20" s="106">
        <v>-20000000</v>
      </c>
      <c r="I20" s="106">
        <f>H20+F20</f>
        <v>-20000000</v>
      </c>
      <c r="K20" s="106">
        <v>0</v>
      </c>
      <c r="L20" s="106">
        <f>K20+I20</f>
        <v>-20000000</v>
      </c>
    </row>
    <row r="21" spans="1:13">
      <c r="A21" s="105" t="s">
        <v>280</v>
      </c>
      <c r="B21" s="105">
        <v>8115</v>
      </c>
      <c r="C21" s="106">
        <v>1026120</v>
      </c>
      <c r="D21" s="106">
        <v>992420</v>
      </c>
      <c r="E21" s="106">
        <v>762067</v>
      </c>
      <c r="H21" s="106">
        <v>620709</v>
      </c>
      <c r="I21" s="106">
        <v>127578</v>
      </c>
      <c r="K21" s="106">
        <v>1850000</v>
      </c>
      <c r="L21" s="106">
        <f>K21+127578</f>
        <v>1977578</v>
      </c>
    </row>
    <row r="22" spans="1:13">
      <c r="A22" s="105" t="s">
        <v>362</v>
      </c>
      <c r="B22" s="105">
        <v>8115</v>
      </c>
      <c r="C22" s="106"/>
      <c r="D22" s="106">
        <v>0</v>
      </c>
      <c r="E22" s="106"/>
      <c r="F22" s="106">
        <v>-493131</v>
      </c>
      <c r="H22" s="106"/>
      <c r="I22" s="106">
        <v>0</v>
      </c>
      <c r="K22" s="106"/>
      <c r="L22" s="106">
        <v>0</v>
      </c>
    </row>
    <row r="23" spans="1:13">
      <c r="A23" s="105" t="s">
        <v>646</v>
      </c>
      <c r="B23" s="105">
        <v>8117</v>
      </c>
      <c r="C23" s="106">
        <v>1000000</v>
      </c>
      <c r="D23" s="106">
        <v>1000000</v>
      </c>
      <c r="E23" s="106"/>
      <c r="F23" s="106">
        <v>1000000</v>
      </c>
      <c r="H23" s="106">
        <v>-1000000</v>
      </c>
      <c r="I23" s="106">
        <f>H23+F23</f>
        <v>0</v>
      </c>
      <c r="K23" s="106"/>
      <c r="L23" s="106">
        <f>K23+I23</f>
        <v>0</v>
      </c>
    </row>
    <row r="24" spans="1:13">
      <c r="A24" s="105" t="s">
        <v>647</v>
      </c>
      <c r="B24" s="105">
        <v>8118</v>
      </c>
      <c r="C24" s="106">
        <v>-1000000</v>
      </c>
      <c r="D24" s="106">
        <v>-1000000</v>
      </c>
      <c r="E24" s="106"/>
      <c r="F24" s="106">
        <v>-1000000</v>
      </c>
      <c r="H24" s="106">
        <v>1000000</v>
      </c>
      <c r="I24" s="106">
        <f>H24+F24</f>
        <v>0</v>
      </c>
      <c r="K24" s="106"/>
      <c r="L24" s="106">
        <f>K24+I24</f>
        <v>0</v>
      </c>
    </row>
    <row r="25" spans="1:13">
      <c r="A25" s="105" t="s">
        <v>358</v>
      </c>
      <c r="B25" s="105">
        <v>8123</v>
      </c>
      <c r="C25" s="106"/>
      <c r="D25" s="106"/>
      <c r="E25" s="106"/>
      <c r="H25" s="413"/>
      <c r="I25" s="106"/>
      <c r="K25" s="413"/>
      <c r="L25" s="106"/>
    </row>
    <row r="26" spans="1:13">
      <c r="A26" s="105" t="s">
        <v>577</v>
      </c>
      <c r="B26" s="105">
        <v>8124</v>
      </c>
      <c r="C26" s="106">
        <v>-241000</v>
      </c>
      <c r="D26" s="106">
        <v>-241000</v>
      </c>
      <c r="E26" s="106">
        <v>-240744</v>
      </c>
      <c r="F26" s="106">
        <v>-241000</v>
      </c>
      <c r="H26" s="106"/>
      <c r="I26" s="106">
        <f>H26+F26</f>
        <v>-241000</v>
      </c>
      <c r="K26" s="106"/>
      <c r="L26" s="106">
        <f>K26+I26</f>
        <v>-241000</v>
      </c>
    </row>
    <row r="27" spans="1:13" s="117" customFormat="1" ht="17.25" customHeight="1" thickBot="1">
      <c r="A27" s="115" t="s">
        <v>359</v>
      </c>
      <c r="B27" s="115"/>
      <c r="C27" s="116">
        <f>SUM(C21:C26)</f>
        <v>785120</v>
      </c>
      <c r="D27" s="116">
        <f t="shared" ref="D27:E27" si="0">SUM(D21:D26)</f>
        <v>751420</v>
      </c>
      <c r="E27" s="116">
        <f t="shared" si="0"/>
        <v>521323</v>
      </c>
      <c r="F27" s="116">
        <f>SUM(F19:F26)</f>
        <v>-734131</v>
      </c>
      <c r="H27" s="116">
        <f>SUM(H19:H26)</f>
        <v>620709</v>
      </c>
      <c r="I27" s="116">
        <f>SUM(I19:I26)</f>
        <v>-113422</v>
      </c>
      <c r="K27" s="116">
        <f>SUM(K19:K26)</f>
        <v>1850000</v>
      </c>
      <c r="L27" s="116">
        <f>SUM(L19:L26)</f>
        <v>1736578</v>
      </c>
    </row>
    <row r="28" spans="1:13">
      <c r="H28" s="106"/>
      <c r="I28" s="106"/>
      <c r="K28" s="106"/>
      <c r="L28" s="106"/>
    </row>
    <row r="29" spans="1:13" ht="15.75" thickBot="1">
      <c r="A29" s="109" t="s">
        <v>360</v>
      </c>
      <c r="B29" s="109"/>
      <c r="C29" s="110">
        <f>C9-C14+C27</f>
        <v>-9.999999962747097E-2</v>
      </c>
      <c r="D29" s="110">
        <f>D9-D14+D27</f>
        <v>-9527.0999999996275</v>
      </c>
      <c r="E29" s="110">
        <f>E9-E14+E27</f>
        <v>0.36999999824911356</v>
      </c>
      <c r="F29" s="110">
        <f>F9-F14+F27</f>
        <v>-0.40000000037252903</v>
      </c>
      <c r="H29" s="110">
        <f>H9-H14+H27</f>
        <v>-1.9999999552965164E-2</v>
      </c>
      <c r="I29" s="110">
        <f>I9-I14+I27</f>
        <v>-0.42000000178813934</v>
      </c>
      <c r="K29" s="110">
        <f>K9-K14+K27</f>
        <v>0</v>
      </c>
      <c r="L29" s="110">
        <f>L9-L14+L27</f>
        <v>-0.42000000178813934</v>
      </c>
    </row>
    <row r="30" spans="1:13">
      <c r="C30" s="106"/>
      <c r="D30" s="106"/>
      <c r="E30" s="106"/>
    </row>
    <row r="31" spans="1:13">
      <c r="A31" s="104" t="s">
        <v>698</v>
      </c>
      <c r="B31" s="132"/>
      <c r="F31" s="104" t="s">
        <v>697</v>
      </c>
    </row>
    <row r="32" spans="1:13">
      <c r="A32" s="104" t="s">
        <v>705</v>
      </c>
      <c r="B32" s="132"/>
      <c r="F32" s="104" t="s">
        <v>704</v>
      </c>
    </row>
    <row r="33" spans="1:12">
      <c r="A33" s="104" t="s">
        <v>708</v>
      </c>
      <c r="B33" s="132"/>
      <c r="F33" s="104" t="s">
        <v>709</v>
      </c>
    </row>
    <row r="34" spans="1:12">
      <c r="A34" s="104"/>
    </row>
    <row r="35" spans="1:12" s="106" customFormat="1">
      <c r="A35" s="104"/>
      <c r="B35" s="132"/>
      <c r="C35" s="105"/>
      <c r="D35" s="105"/>
      <c r="G35" s="105"/>
      <c r="H35" s="219"/>
      <c r="I35" s="105"/>
      <c r="K35" s="219" t="s">
        <v>461</v>
      </c>
      <c r="L35" s="105"/>
    </row>
    <row r="36" spans="1:12" s="106" customFormat="1">
      <c r="A36" s="104"/>
      <c r="B36" s="105"/>
      <c r="C36" s="105"/>
      <c r="D36" s="105"/>
      <c r="G36" s="105"/>
      <c r="H36" s="219"/>
      <c r="I36" s="105"/>
      <c r="K36" s="219" t="s">
        <v>462</v>
      </c>
      <c r="L36" s="105"/>
    </row>
    <row r="37" spans="1:12" s="106" customFormat="1">
      <c r="A37" s="104" t="s">
        <v>382</v>
      </c>
      <c r="B37" s="105"/>
      <c r="C37" s="105"/>
      <c r="D37" s="105"/>
      <c r="E37" s="105"/>
      <c r="G37" s="105"/>
      <c r="H37" s="105"/>
      <c r="I37" s="105"/>
      <c r="K37" s="105"/>
      <c r="L37" s="105"/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4EF6-33B3-49E3-81A8-70467FB3F333}">
  <sheetPr>
    <tabColor rgb="FFFFFF00"/>
    <pageSetUpPr fitToPage="1"/>
  </sheetPr>
  <dimension ref="A1:N36"/>
  <sheetViews>
    <sheetView topLeftCell="A5" zoomScale="90" zoomScaleNormal="90" workbookViewId="0">
      <selection activeCell="L8" sqref="L8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5703125" style="105" customWidth="1"/>
    <col min="4" max="5" width="18.28515625" style="105" customWidth="1"/>
    <col min="6" max="6" width="18.28515625" style="106" customWidth="1"/>
    <col min="7" max="7" width="4" style="105" customWidth="1"/>
    <col min="8" max="8" width="17.28515625" style="105" customWidth="1"/>
    <col min="9" max="9" width="19" style="105" customWidth="1"/>
    <col min="10" max="10" width="9.140625" style="105"/>
    <col min="11" max="11" width="12.140625" style="105" bestFit="1" customWidth="1"/>
    <col min="12" max="12" width="12.7109375" style="105" bestFit="1" customWidth="1"/>
    <col min="13" max="13" width="11.42578125" style="105" bestFit="1" customWidth="1"/>
    <col min="14" max="14" width="9.5703125" style="105" bestFit="1" customWidth="1"/>
    <col min="15" max="16384" width="9.140625" style="105"/>
  </cols>
  <sheetData>
    <row r="1" spans="1:14">
      <c r="F1" s="105"/>
    </row>
    <row r="2" spans="1:14" ht="23.25">
      <c r="A2" s="460" t="s">
        <v>699</v>
      </c>
      <c r="B2" s="460"/>
      <c r="C2" s="460"/>
      <c r="D2" s="460"/>
      <c r="E2" s="460"/>
      <c r="F2" s="460"/>
    </row>
    <row r="3" spans="1:14" ht="15.75">
      <c r="H3" s="117" t="s">
        <v>469</v>
      </c>
      <c r="I3" s="117"/>
    </row>
    <row r="4" spans="1:14" ht="31.5">
      <c r="A4" s="111" t="s">
        <v>263</v>
      </c>
      <c r="B4" s="111" t="s">
        <v>5</v>
      </c>
      <c r="C4" s="112" t="s">
        <v>657</v>
      </c>
      <c r="D4" s="112" t="s">
        <v>689</v>
      </c>
      <c r="E4" s="112" t="s">
        <v>690</v>
      </c>
      <c r="F4" s="112" t="s">
        <v>700</v>
      </c>
      <c r="H4" s="222" t="s">
        <v>472</v>
      </c>
      <c r="I4" s="222" t="s">
        <v>473</v>
      </c>
    </row>
    <row r="5" spans="1:14" ht="15.75">
      <c r="A5" s="105" t="s">
        <v>265</v>
      </c>
      <c r="B5" s="105" t="s">
        <v>266</v>
      </c>
      <c r="C5" s="106">
        <f>Rozpis_Příjmy!DU22</f>
        <v>6763000</v>
      </c>
      <c r="D5" s="106">
        <f>Rozpis_Příjmy!EG22</f>
        <v>6727114</v>
      </c>
      <c r="E5" s="106">
        <f>Rozpis_Příjmy!EI22</f>
        <v>6594028.2300000004</v>
      </c>
      <c r="F5" s="106">
        <f>Rozpis_Příjmy!EK22</f>
        <v>6645800</v>
      </c>
      <c r="H5" s="106">
        <f>Rozpis_Příjmy!EM22</f>
        <v>47000</v>
      </c>
      <c r="I5" s="106">
        <f>Rozpis_Příjmy!EN22</f>
        <v>6692800</v>
      </c>
      <c r="L5" s="426"/>
    </row>
    <row r="6" spans="1:14" ht="15.75">
      <c r="A6" s="105" t="s">
        <v>267</v>
      </c>
      <c r="B6" s="105" t="s">
        <v>268</v>
      </c>
      <c r="C6" s="106">
        <f>Rozpis_Příjmy!DU122</f>
        <v>430400</v>
      </c>
      <c r="D6" s="106">
        <f>Rozpis_Příjmy!EG122</f>
        <v>680083</v>
      </c>
      <c r="E6" s="106">
        <f>Rozpis_Příjmy!EI122</f>
        <v>792358.71</v>
      </c>
      <c r="F6" s="106">
        <f>Rozpis_Příjmy!EK122</f>
        <v>710800</v>
      </c>
      <c r="H6" s="106">
        <f>Rozpis_Příjmy!EM122</f>
        <v>439884.98</v>
      </c>
      <c r="I6" s="106">
        <f>Rozpis_Příjmy!EN122</f>
        <v>1150684.9799999997</v>
      </c>
      <c r="L6" s="426"/>
    </row>
    <row r="7" spans="1:14" ht="15.75">
      <c r="A7" s="105" t="s">
        <v>269</v>
      </c>
      <c r="B7" s="105" t="s">
        <v>270</v>
      </c>
      <c r="C7" s="106">
        <f>Rozpis_Příjmy!DU99</f>
        <v>40000</v>
      </c>
      <c r="D7" s="106">
        <f>Rozpis_Příjmy!EG99</f>
        <v>82066</v>
      </c>
      <c r="E7" s="106">
        <f>Rozpis_Příjmy!EI99</f>
        <v>592</v>
      </c>
      <c r="F7" s="106">
        <f>Rozpis_Příjmy!EK99</f>
        <v>100000</v>
      </c>
      <c r="H7" s="106">
        <f>Rozpis_Příjmy!EM99</f>
        <v>0</v>
      </c>
      <c r="I7" s="106">
        <f>Rozpis_Příjmy!EN99</f>
        <v>100000</v>
      </c>
      <c r="L7" s="426"/>
    </row>
    <row r="8" spans="1:14" ht="15.75">
      <c r="A8" s="105" t="s">
        <v>271</v>
      </c>
      <c r="B8" s="105" t="s">
        <v>272</v>
      </c>
      <c r="C8" s="106">
        <f>Rozpis_Příjmy!DU35</f>
        <v>179700</v>
      </c>
      <c r="D8" s="106">
        <f>Rozpis_Příjmy!EG35</f>
        <v>318671</v>
      </c>
      <c r="E8" s="106">
        <f>Rozpis_Příjmy!EI35</f>
        <v>318671</v>
      </c>
      <c r="F8" s="106">
        <f>Rozpis_Příjmy!EK35</f>
        <v>80300</v>
      </c>
      <c r="H8" s="106">
        <f>Rozpis_Příjmy!EM35</f>
        <v>19111564.550000001</v>
      </c>
      <c r="I8" s="106">
        <f>Rozpis_Příjmy!EN35</f>
        <v>19191864.550000001</v>
      </c>
      <c r="L8" s="426"/>
      <c r="N8" s="106"/>
    </row>
    <row r="9" spans="1:14" s="117" customFormat="1" ht="16.5" thickBot="1">
      <c r="A9" s="115" t="s">
        <v>261</v>
      </c>
      <c r="B9" s="115"/>
      <c r="C9" s="116">
        <f>SUM(C5:C8)</f>
        <v>7413100</v>
      </c>
      <c r="D9" s="116">
        <f>SUM(D5:D8)</f>
        <v>7807934</v>
      </c>
      <c r="E9" s="116">
        <f>SUM(E5:E8)</f>
        <v>7705649.9400000004</v>
      </c>
      <c r="F9" s="116">
        <f>SUM(F5:F8)</f>
        <v>7536900</v>
      </c>
      <c r="H9" s="116">
        <f>SUM(H5:H8)</f>
        <v>19598449.530000001</v>
      </c>
      <c r="I9" s="116">
        <f>SUM(I5:I8)</f>
        <v>27135349.530000001</v>
      </c>
      <c r="L9" s="426"/>
    </row>
    <row r="10" spans="1:14">
      <c r="H10" s="106"/>
      <c r="I10" s="106"/>
    </row>
    <row r="11" spans="1:14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H11" s="114"/>
      <c r="I11" s="114"/>
    </row>
    <row r="12" spans="1:14" ht="15.75">
      <c r="A12" s="105" t="s">
        <v>274</v>
      </c>
      <c r="B12" s="105" t="s">
        <v>275</v>
      </c>
      <c r="C12" s="106">
        <f>Rozpis_Výdaje!EK350</f>
        <v>5939880.0999999996</v>
      </c>
      <c r="D12" s="106">
        <f>Rozpis_Výdaje!FR350</f>
        <v>6088441.0999999996</v>
      </c>
      <c r="E12" s="106">
        <f>Rozpis_Výdaje!FT350</f>
        <v>5823835.5100000016</v>
      </c>
      <c r="F12" s="106">
        <f>Rozpis_Výdaje!FV350</f>
        <v>5989469.4000000004</v>
      </c>
      <c r="H12" s="106">
        <f>Rozpis_Výdaje!GE350</f>
        <v>745126</v>
      </c>
      <c r="I12" s="106">
        <f>Rozpis_Výdaje!GF350</f>
        <v>6734595.4000000004</v>
      </c>
      <c r="L12" s="426"/>
    </row>
    <row r="13" spans="1:14" ht="15.75">
      <c r="A13" s="105" t="s">
        <v>276</v>
      </c>
      <c r="B13" s="105" t="s">
        <v>277</v>
      </c>
      <c r="C13" s="106">
        <f>Rozpis_Výdaje!EK353</f>
        <v>2258340</v>
      </c>
      <c r="D13" s="106">
        <f>Rozpis_Výdaje!FR353</f>
        <v>2480440</v>
      </c>
      <c r="E13" s="106">
        <f>Rozpis_Výdaje!FT353</f>
        <v>2403137.06</v>
      </c>
      <c r="F13" s="106">
        <f>Rozpis_Výdaje!FV353</f>
        <v>813300</v>
      </c>
      <c r="G13" s="105" t="s">
        <v>457</v>
      </c>
      <c r="H13" s="106">
        <f>Rozpis_Výdaje!GE353</f>
        <v>19474032.550000001</v>
      </c>
      <c r="I13" s="106">
        <f>Rozpis_Výdaje!GF353</f>
        <v>20287332.550000001</v>
      </c>
      <c r="L13" s="426"/>
    </row>
    <row r="14" spans="1:14" s="117" customFormat="1" ht="16.5" thickBot="1">
      <c r="A14" s="115" t="s">
        <v>262</v>
      </c>
      <c r="B14" s="115"/>
      <c r="C14" s="116">
        <f>C12+C13</f>
        <v>8198220.0999999996</v>
      </c>
      <c r="D14" s="116">
        <f>D12+D13</f>
        <v>8568881.0999999996</v>
      </c>
      <c r="E14" s="116">
        <f>E12+E13</f>
        <v>8226972.5700000022</v>
      </c>
      <c r="F14" s="116">
        <f>F12+F13</f>
        <v>6802769.4000000004</v>
      </c>
      <c r="H14" s="116">
        <f>H12+H13</f>
        <v>20219158.550000001</v>
      </c>
      <c r="I14" s="116">
        <f>I12+I13</f>
        <v>27021927.950000003</v>
      </c>
      <c r="L14" s="426"/>
    </row>
    <row r="15" spans="1:14">
      <c r="H15" s="106"/>
      <c r="I15" s="106"/>
    </row>
    <row r="16" spans="1:14" ht="15.75" thickBot="1">
      <c r="A16" s="107" t="s">
        <v>278</v>
      </c>
      <c r="B16" s="107"/>
      <c r="C16" s="108">
        <f>C9-C14</f>
        <v>-785120.09999999963</v>
      </c>
      <c r="D16" s="108">
        <f>D9-D14</f>
        <v>-760947.09999999963</v>
      </c>
      <c r="E16" s="108">
        <f>E9-E14</f>
        <v>-521322.63000000175</v>
      </c>
      <c r="F16" s="108">
        <f>F9-F14</f>
        <v>734130.59999999963</v>
      </c>
      <c r="H16" s="108">
        <f>H9-H14</f>
        <v>-620709.01999999955</v>
      </c>
      <c r="I16" s="108">
        <f>I9-I14</f>
        <v>113421.57999999821</v>
      </c>
      <c r="M16" s="106"/>
    </row>
    <row r="17" spans="1:13">
      <c r="H17" s="106"/>
      <c r="I17" s="106"/>
      <c r="M17" s="106"/>
    </row>
    <row r="18" spans="1:13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H18" s="114"/>
      <c r="I18" s="114"/>
    </row>
    <row r="19" spans="1:13" ht="15.75">
      <c r="A19" s="105" t="s">
        <v>692</v>
      </c>
      <c r="B19" s="105">
        <v>8113</v>
      </c>
      <c r="C19" s="117"/>
      <c r="D19" s="117"/>
      <c r="E19" s="117"/>
      <c r="H19" s="106">
        <v>20000000</v>
      </c>
      <c r="I19" s="106">
        <f>H19+F19</f>
        <v>20000000</v>
      </c>
    </row>
    <row r="20" spans="1:13" ht="15.75">
      <c r="A20" s="105" t="s">
        <v>693</v>
      </c>
      <c r="B20" s="105">
        <v>8114</v>
      </c>
      <c r="C20" s="117"/>
      <c r="D20" s="117"/>
      <c r="E20" s="117"/>
      <c r="H20" s="106">
        <v>-20000000</v>
      </c>
      <c r="I20" s="106">
        <f>H20+F20</f>
        <v>-20000000</v>
      </c>
    </row>
    <row r="21" spans="1:13">
      <c r="A21" s="105" t="s">
        <v>280</v>
      </c>
      <c r="B21" s="105">
        <v>8115</v>
      </c>
      <c r="C21" s="106">
        <v>1026120</v>
      </c>
      <c r="D21" s="106">
        <v>992420</v>
      </c>
      <c r="E21" s="106">
        <v>762067</v>
      </c>
      <c r="H21" s="106">
        <v>620709</v>
      </c>
      <c r="I21" s="106">
        <v>127578</v>
      </c>
      <c r="K21" s="106"/>
    </row>
    <row r="22" spans="1:13">
      <c r="A22" s="105" t="s">
        <v>362</v>
      </c>
      <c r="B22" s="105">
        <v>8115</v>
      </c>
      <c r="C22" s="106"/>
      <c r="D22" s="106">
        <v>0</v>
      </c>
      <c r="E22" s="106"/>
      <c r="F22" s="106">
        <v>-493131</v>
      </c>
      <c r="H22" s="106"/>
      <c r="I22" s="106">
        <v>0</v>
      </c>
      <c r="K22" s="106"/>
    </row>
    <row r="23" spans="1:13">
      <c r="A23" s="105" t="s">
        <v>646</v>
      </c>
      <c r="B23" s="105">
        <v>8117</v>
      </c>
      <c r="C23" s="106">
        <v>1000000</v>
      </c>
      <c r="D23" s="106">
        <v>1000000</v>
      </c>
      <c r="E23" s="106"/>
      <c r="F23" s="106">
        <v>1000000</v>
      </c>
      <c r="H23" s="106">
        <v>-1000000</v>
      </c>
      <c r="I23" s="106">
        <f>H23+F23</f>
        <v>0</v>
      </c>
      <c r="K23" s="106"/>
    </row>
    <row r="24" spans="1:13">
      <c r="A24" s="105" t="s">
        <v>647</v>
      </c>
      <c r="B24" s="105">
        <v>8118</v>
      </c>
      <c r="C24" s="106">
        <v>-1000000</v>
      </c>
      <c r="D24" s="106">
        <v>-1000000</v>
      </c>
      <c r="E24" s="106"/>
      <c r="F24" s="106">
        <v>-1000000</v>
      </c>
      <c r="H24" s="106">
        <v>1000000</v>
      </c>
      <c r="I24" s="106">
        <f>H24+F24</f>
        <v>0</v>
      </c>
    </row>
    <row r="25" spans="1:13">
      <c r="A25" s="105" t="s">
        <v>358</v>
      </c>
      <c r="B25" s="105">
        <v>8123</v>
      </c>
      <c r="C25" s="106"/>
      <c r="D25" s="106"/>
      <c r="E25" s="106"/>
      <c r="H25" s="413"/>
      <c r="I25" s="106"/>
    </row>
    <row r="26" spans="1:13">
      <c r="A26" s="105" t="s">
        <v>577</v>
      </c>
      <c r="B26" s="105">
        <v>8124</v>
      </c>
      <c r="C26" s="106">
        <v>-241000</v>
      </c>
      <c r="D26" s="106">
        <v>-241000</v>
      </c>
      <c r="E26" s="106">
        <v>-240744</v>
      </c>
      <c r="F26" s="106">
        <v>-241000</v>
      </c>
      <c r="H26" s="106"/>
      <c r="I26" s="106">
        <f>H26+F26</f>
        <v>-241000</v>
      </c>
    </row>
    <row r="27" spans="1:13" s="117" customFormat="1" ht="17.25" customHeight="1" thickBot="1">
      <c r="A27" s="115" t="s">
        <v>359</v>
      </c>
      <c r="B27" s="115"/>
      <c r="C27" s="116">
        <f>SUM(C21:C26)</f>
        <v>785120</v>
      </c>
      <c r="D27" s="116">
        <f t="shared" ref="D27:E27" si="0">SUM(D21:D26)</f>
        <v>751420</v>
      </c>
      <c r="E27" s="116">
        <f t="shared" si="0"/>
        <v>521323</v>
      </c>
      <c r="F27" s="116">
        <f>SUM(F19:F26)</f>
        <v>-734131</v>
      </c>
      <c r="H27" s="116">
        <f>SUM(H19:H26)</f>
        <v>620709</v>
      </c>
      <c r="I27" s="116">
        <f>SUM(I19:I26)</f>
        <v>-113422</v>
      </c>
    </row>
    <row r="28" spans="1:13">
      <c r="H28" s="106"/>
      <c r="I28" s="106"/>
    </row>
    <row r="29" spans="1:13" ht="15.75" thickBot="1">
      <c r="A29" s="109" t="s">
        <v>360</v>
      </c>
      <c r="B29" s="109"/>
      <c r="C29" s="110">
        <f>C9-C14+C27</f>
        <v>-9.999999962747097E-2</v>
      </c>
      <c r="D29" s="110">
        <f>D9-D14+D27</f>
        <v>-9527.0999999996275</v>
      </c>
      <c r="E29" s="110">
        <f>E9-E14+E27</f>
        <v>0.36999999824911356</v>
      </c>
      <c r="F29" s="110">
        <f>F9-F14+F27</f>
        <v>-0.40000000037252903</v>
      </c>
      <c r="H29" s="110">
        <f>H9-H14+H27</f>
        <v>-1.9999999552965164E-2</v>
      </c>
      <c r="I29" s="110">
        <f>I9-I14+I27</f>
        <v>-0.42000000178813934</v>
      </c>
    </row>
    <row r="30" spans="1:13">
      <c r="C30" s="106"/>
      <c r="D30" s="106"/>
      <c r="E30" s="106"/>
    </row>
    <row r="31" spans="1:13">
      <c r="A31" s="104" t="s">
        <v>698</v>
      </c>
      <c r="B31" s="132"/>
      <c r="F31" s="104" t="s">
        <v>697</v>
      </c>
    </row>
    <row r="32" spans="1:13">
      <c r="A32" s="104" t="s">
        <v>705</v>
      </c>
      <c r="B32" s="132"/>
      <c r="F32" s="104" t="s">
        <v>704</v>
      </c>
    </row>
    <row r="33" spans="1:9">
      <c r="A33" s="104"/>
    </row>
    <row r="34" spans="1:9" s="106" customFormat="1">
      <c r="A34" s="104"/>
      <c r="B34" s="132"/>
      <c r="C34" s="105"/>
      <c r="D34" s="105"/>
      <c r="G34" s="105"/>
      <c r="H34" s="219" t="s">
        <v>461</v>
      </c>
      <c r="I34" s="105"/>
    </row>
    <row r="35" spans="1:9" s="106" customFormat="1">
      <c r="A35" s="104"/>
      <c r="B35" s="105"/>
      <c r="C35" s="105"/>
      <c r="D35" s="105"/>
      <c r="G35" s="105"/>
      <c r="H35" s="219" t="s">
        <v>462</v>
      </c>
      <c r="I35" s="105"/>
    </row>
    <row r="36" spans="1:9" s="106" customFormat="1">
      <c r="A36" s="104" t="s">
        <v>382</v>
      </c>
      <c r="B36" s="105"/>
      <c r="C36" s="105"/>
      <c r="D36" s="105"/>
      <c r="E36" s="105"/>
      <c r="G36" s="105"/>
      <c r="H36" s="105"/>
      <c r="I36" s="105"/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466F-70E4-4217-B997-CC6919DBFCDA}">
  <sheetPr>
    <tabColor rgb="FFFFFF00"/>
    <pageSetUpPr fitToPage="1"/>
  </sheetPr>
  <dimension ref="A1:R36"/>
  <sheetViews>
    <sheetView zoomScale="80" zoomScaleNormal="80" workbookViewId="0">
      <selection activeCell="R24" sqref="R24"/>
    </sheetView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7.7109375" style="106" customWidth="1"/>
    <col min="7" max="7" width="2.7109375" style="413" customWidth="1"/>
    <col min="8" max="8" width="14.7109375" style="407" customWidth="1" outlineLevel="1"/>
    <col min="9" max="9" width="13.7109375" style="105" customWidth="1" outlineLevel="1"/>
    <col min="10" max="10" width="3.28515625" style="105" customWidth="1" outlineLevel="1"/>
    <col min="11" max="11" width="14" style="105" customWidth="1" outlineLevel="1"/>
    <col min="12" max="12" width="14.85546875" style="105" customWidth="1" outlineLevel="1"/>
    <col min="13" max="13" width="2.5703125" style="105" customWidth="1" outlineLevel="1"/>
    <col min="14" max="14" width="14" style="105" customWidth="1"/>
    <col min="15" max="15" width="14.85546875" style="105" customWidth="1"/>
    <col min="16" max="16" width="3.140625" style="105" customWidth="1"/>
    <col min="17" max="17" width="14" style="105" customWidth="1"/>
    <col min="18" max="18" width="16.85546875" style="105" customWidth="1"/>
    <col min="19" max="19" width="2.7109375" style="105" customWidth="1"/>
    <col min="20" max="20" width="11" style="105" customWidth="1"/>
    <col min="21" max="16384" width="9.140625" style="105"/>
  </cols>
  <sheetData>
    <row r="1" spans="1:18">
      <c r="F1" s="105"/>
      <c r="G1" s="104"/>
      <c r="H1" s="104"/>
    </row>
    <row r="2" spans="1:18" ht="23.25">
      <c r="A2" s="460" t="s">
        <v>656</v>
      </c>
      <c r="B2" s="460"/>
      <c r="C2" s="460"/>
      <c r="D2" s="460"/>
      <c r="E2" s="460"/>
      <c r="F2" s="460"/>
      <c r="G2" s="406"/>
    </row>
    <row r="3" spans="1:18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</row>
    <row r="4" spans="1:18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  <c r="Q4" s="222" t="s">
        <v>472</v>
      </c>
      <c r="R4" s="222" t="s">
        <v>473</v>
      </c>
    </row>
    <row r="5" spans="1:18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  <c r="J5" s="106"/>
      <c r="K5" s="106">
        <f>Rozpis_Příjmy!DZ22</f>
        <v>4500</v>
      </c>
      <c r="L5" s="106">
        <f>Rozpis_Příjmy!EA22</f>
        <v>6830580</v>
      </c>
      <c r="N5" s="106">
        <f>Rozpis_Příjmy!EC22</f>
        <v>0</v>
      </c>
      <c r="O5" s="106">
        <f>Rozpis_Příjmy!ED22</f>
        <v>6830580</v>
      </c>
      <c r="Q5" s="106">
        <f>Rozpis_Příjmy!EF22</f>
        <v>-103466</v>
      </c>
      <c r="R5" s="106">
        <f>Rozpis_Příjmy!EG22</f>
        <v>6727114</v>
      </c>
    </row>
    <row r="6" spans="1:18">
      <c r="A6" s="105" t="s">
        <v>267</v>
      </c>
      <c r="B6" s="105" t="s">
        <v>268</v>
      </c>
      <c r="C6" s="106">
        <f>Rozpis_Příjmy!CR122</f>
        <v>514800</v>
      </c>
      <c r="D6" s="106">
        <f>Rozpis_Příjmy!DQ122</f>
        <v>821750</v>
      </c>
      <c r="E6" s="106">
        <f>Rozpis_Příjmy!DS122</f>
        <v>801065.93</v>
      </c>
      <c r="F6" s="106">
        <f>Rozpis_Příjmy!DU122</f>
        <v>430400</v>
      </c>
      <c r="G6" s="419"/>
      <c r="H6" s="106">
        <f>Rozpis_Příjmy!DW122</f>
        <v>0</v>
      </c>
      <c r="I6" s="106">
        <f>Rozpis_Příjmy!DX122</f>
        <v>430400</v>
      </c>
      <c r="K6" s="106" t="e">
        <f>Rozpis_Příjmy!DZ122</f>
        <v>#REF!</v>
      </c>
      <c r="L6" s="106" t="e">
        <f>Rozpis_Příjmy!EA122</f>
        <v>#REF!</v>
      </c>
      <c r="N6" s="106" t="e">
        <f>Rozpis_Příjmy!EC122</f>
        <v>#REF!</v>
      </c>
      <c r="O6" s="106" t="e">
        <f>Rozpis_Příjmy!ED122</f>
        <v>#REF!</v>
      </c>
      <c r="Q6" s="106">
        <f>Rozpis_Příjmy!EF122</f>
        <v>-24610</v>
      </c>
      <c r="R6" s="106">
        <f>Rozpis_Příjmy!EG122</f>
        <v>680083</v>
      </c>
    </row>
    <row r="7" spans="1:18">
      <c r="A7" s="105" t="s">
        <v>269</v>
      </c>
      <c r="B7" s="105" t="s">
        <v>270</v>
      </c>
      <c r="C7" s="106">
        <f>Rozpis_Příjmy!CR99</f>
        <v>30000</v>
      </c>
      <c r="D7" s="106">
        <f>Rozpis_Příjmy!DQ99</f>
        <v>191500</v>
      </c>
      <c r="E7" s="106">
        <f>Rozpis_Příjmy!DS99</f>
        <v>205926</v>
      </c>
      <c r="F7" s="106">
        <f>Rozpis_Příjmy!DU99</f>
        <v>40000</v>
      </c>
      <c r="G7" s="419"/>
      <c r="H7" s="106">
        <f>Rozpis_Příjmy!DW99</f>
        <v>0</v>
      </c>
      <c r="I7" s="106">
        <f>Rozpis_Příjmy!DX99</f>
        <v>40000</v>
      </c>
      <c r="K7" s="106">
        <f>Rozpis_Příjmy!DZ99</f>
        <v>0</v>
      </c>
      <c r="L7" s="106">
        <f>Rozpis_Příjmy!EA99</f>
        <v>40000</v>
      </c>
      <c r="N7" s="106">
        <f>Rozpis_Příjmy!EC99</f>
        <v>0</v>
      </c>
      <c r="O7" s="106">
        <f>Rozpis_Příjmy!ED99</f>
        <v>40000</v>
      </c>
      <c r="Q7" s="106">
        <f>Rozpis_Příjmy!EF99</f>
        <v>42066</v>
      </c>
      <c r="R7" s="106">
        <f>Rozpis_Příjmy!EG99</f>
        <v>82066</v>
      </c>
    </row>
    <row r="8" spans="1:18">
      <c r="A8" s="105" t="s">
        <v>271</v>
      </c>
      <c r="B8" s="105" t="s">
        <v>272</v>
      </c>
      <c r="C8" s="106">
        <f>Rozpis_Příjmy!CR35</f>
        <v>365188.89</v>
      </c>
      <c r="D8" s="106">
        <v>1624040</v>
      </c>
      <c r="E8" s="106">
        <f>Rozpis_Příjmy!DS35</f>
        <v>1624040</v>
      </c>
      <c r="F8" s="106">
        <f>Rozpis_Příjmy!DU35</f>
        <v>179700</v>
      </c>
      <c r="G8" s="419"/>
      <c r="H8" s="106">
        <f>Rozpis_Příjmy!DW35</f>
        <v>0</v>
      </c>
      <c r="I8" s="106">
        <f>Rozpis_Příjmy!DX35</f>
        <v>179700</v>
      </c>
      <c r="K8" s="106">
        <f>Rozpis_Příjmy!DZ35</f>
        <v>72500</v>
      </c>
      <c r="L8" s="106">
        <f>Rozpis_Příjmy!EA35</f>
        <v>252200</v>
      </c>
      <c r="N8" s="106">
        <f>Rozpis_Příjmy!EC35</f>
        <v>48000</v>
      </c>
      <c r="O8" s="106">
        <f>Rozpis_Příjmy!ED35</f>
        <v>300200</v>
      </c>
      <c r="Q8" s="106">
        <f>Rozpis_Příjmy!EF35</f>
        <v>18471</v>
      </c>
      <c r="R8" s="106">
        <f>Rozpis_Příjmy!EG35</f>
        <v>318671</v>
      </c>
    </row>
    <row r="9" spans="1:18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  <c r="K9" s="116" t="e">
        <f>SUM(K5:K8)</f>
        <v>#REF!</v>
      </c>
      <c r="L9" s="116" t="e">
        <f>SUM(L5:L8)</f>
        <v>#REF!</v>
      </c>
      <c r="N9" s="116" t="e">
        <f>SUM(N5:N8)</f>
        <v>#REF!</v>
      </c>
      <c r="O9" s="116" t="e">
        <f>SUM(O5:O8)</f>
        <v>#REF!</v>
      </c>
      <c r="Q9" s="116">
        <f>SUM(Q5:Q8)</f>
        <v>-67539</v>
      </c>
      <c r="R9" s="116">
        <f>SUM(R5:R8)</f>
        <v>7807934</v>
      </c>
    </row>
    <row r="10" spans="1:18">
      <c r="H10" s="106"/>
      <c r="I10" s="106"/>
      <c r="K10" s="106"/>
      <c r="L10" s="106"/>
      <c r="N10" s="106"/>
      <c r="O10" s="106"/>
      <c r="Q10" s="106"/>
      <c r="R10" s="106"/>
    </row>
    <row r="11" spans="1:18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  <c r="K11" s="114"/>
      <c r="L11" s="114"/>
      <c r="N11" s="114"/>
      <c r="O11" s="114"/>
      <c r="Q11" s="114"/>
      <c r="R11" s="114"/>
    </row>
    <row r="12" spans="1:18">
      <c r="A12" s="105" t="s">
        <v>274</v>
      </c>
      <c r="B12" s="105" t="s">
        <v>275</v>
      </c>
      <c r="C12" s="106">
        <f>Rozpis_Výdaje!DC350</f>
        <v>6251689.0999999996</v>
      </c>
      <c r="D12" s="106">
        <v>7077159</v>
      </c>
      <c r="E12" s="106">
        <f>Rozpis_Výdaje!EI350</f>
        <v>6909647.4500000002</v>
      </c>
      <c r="F12" s="106">
        <f>Rozpis_Výdaje!EK350</f>
        <v>5939880.0999999996</v>
      </c>
      <c r="G12" s="419"/>
      <c r="H12" s="106">
        <f>Rozpis_Výdaje!EM350</f>
        <v>70380</v>
      </c>
      <c r="I12" s="106">
        <f>Rozpis_Výdaje!EN350</f>
        <v>6010260.0999999996</v>
      </c>
      <c r="J12" s="106"/>
      <c r="K12" s="106">
        <f>Rozpis_Výdaje!EP350</f>
        <v>182700</v>
      </c>
      <c r="L12" s="106">
        <f>Rozpis_Výdaje!EQ350</f>
        <v>6192960.0999999996</v>
      </c>
      <c r="N12" s="106">
        <f>Rozpis_Výdaje!FB350</f>
        <v>-13000</v>
      </c>
      <c r="O12" s="106">
        <f>Rozpis_Výdaje!FC350</f>
        <v>6179960.0999999996</v>
      </c>
      <c r="Q12" s="106">
        <f>Rozpis_Výdaje!FK350</f>
        <v>-91519</v>
      </c>
      <c r="R12" s="106">
        <f>Rozpis_Výdaje!FL350</f>
        <v>6088441.0999999996</v>
      </c>
    </row>
    <row r="13" spans="1:18">
      <c r="A13" s="105" t="s">
        <v>276</v>
      </c>
      <c r="B13" s="105" t="s">
        <v>277</v>
      </c>
      <c r="C13" s="106">
        <f>Rozpis_Výdaje!DC353</f>
        <v>539700</v>
      </c>
      <c r="D13" s="106">
        <v>1791241</v>
      </c>
      <c r="E13" s="106">
        <f>Rozpis_Výdaje!EI353</f>
        <v>1491803.66</v>
      </c>
      <c r="F13" s="106">
        <f>Rozpis_Výdaje!EK353</f>
        <v>2258340</v>
      </c>
      <c r="G13" s="419"/>
      <c r="H13" s="106">
        <f>Rozpis_Výdaje!EM353</f>
        <v>-7300</v>
      </c>
      <c r="I13" s="106">
        <f>Rozpis_Výdaje!EN353</f>
        <v>2251040</v>
      </c>
      <c r="J13" s="106"/>
      <c r="K13" s="106">
        <f>Rozpis_Výdaje!EP353</f>
        <v>0</v>
      </c>
      <c r="L13" s="106">
        <f>Rozpis_Výdaje!EQ353</f>
        <v>2251040</v>
      </c>
      <c r="N13" s="106">
        <f>Rozpis_Výdaje!FB353</f>
        <v>61000</v>
      </c>
      <c r="O13" s="106">
        <f>Rozpis_Výdaje!FC353</f>
        <v>2312040</v>
      </c>
      <c r="Q13" s="106">
        <f>Rozpis_Výdaje!FK353</f>
        <v>168400</v>
      </c>
      <c r="R13" s="106">
        <f>Rozpis_Výdaje!FL353</f>
        <v>2480440</v>
      </c>
    </row>
    <row r="14" spans="1:18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  <c r="J14" s="106"/>
      <c r="K14" s="116">
        <f>K12+K13</f>
        <v>182700</v>
      </c>
      <c r="L14" s="116">
        <f>L12+L13</f>
        <v>8444000.0999999996</v>
      </c>
      <c r="N14" s="116">
        <f>N12+N13</f>
        <v>48000</v>
      </c>
      <c r="O14" s="116">
        <f>O12+O13</f>
        <v>8492000.0999999996</v>
      </c>
      <c r="Q14" s="116">
        <f>Q12+Q13</f>
        <v>76881</v>
      </c>
      <c r="R14" s="116">
        <f>R12+R13</f>
        <v>8568881.0999999996</v>
      </c>
    </row>
    <row r="15" spans="1:18">
      <c r="H15" s="106"/>
      <c r="I15" s="106"/>
      <c r="J15" s="106"/>
      <c r="K15" s="106"/>
      <c r="L15" s="106"/>
      <c r="N15" s="106"/>
      <c r="O15" s="106"/>
      <c r="Q15" s="106"/>
      <c r="R15" s="106"/>
    </row>
    <row r="16" spans="1:18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  <c r="J16" s="106"/>
      <c r="K16" s="108" t="e">
        <f>K9-K14</f>
        <v>#REF!</v>
      </c>
      <c r="L16" s="108" t="e">
        <f>L9-L14</f>
        <v>#REF!</v>
      </c>
      <c r="N16" s="108" t="e">
        <f>N9-N14</f>
        <v>#REF!</v>
      </c>
      <c r="O16" s="108" t="e">
        <f>O9-O14</f>
        <v>#REF!</v>
      </c>
      <c r="Q16" s="108">
        <f>Q9-Q14</f>
        <v>-144420</v>
      </c>
      <c r="R16" s="108">
        <f>R9-R14</f>
        <v>-760947.09999999963</v>
      </c>
    </row>
    <row r="17" spans="1:18">
      <c r="G17" s="416"/>
      <c r="H17" s="106"/>
      <c r="I17" s="106"/>
      <c r="K17" s="106"/>
      <c r="L17" s="106"/>
      <c r="N17" s="106"/>
      <c r="O17" s="106"/>
      <c r="Q17" s="106"/>
      <c r="R17" s="106"/>
    </row>
    <row r="18" spans="1:1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  <c r="K18" s="114"/>
      <c r="L18" s="114"/>
      <c r="N18" s="114"/>
      <c r="O18" s="114"/>
      <c r="Q18" s="114"/>
      <c r="R18" s="114"/>
    </row>
    <row r="19" spans="1:18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  <c r="K19" s="106">
        <v>-178120</v>
      </c>
      <c r="L19" s="106">
        <v>848000</v>
      </c>
      <c r="N19" s="106"/>
      <c r="O19" s="106">
        <v>848000</v>
      </c>
      <c r="Q19" s="106">
        <v>144420</v>
      </c>
      <c r="R19" s="106">
        <f>Q19+O19</f>
        <v>992420</v>
      </c>
    </row>
    <row r="20" spans="1:18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  <c r="K20" s="106"/>
      <c r="L20" s="106"/>
      <c r="N20" s="106"/>
      <c r="O20" s="106"/>
      <c r="Q20" s="106"/>
      <c r="R20" s="106"/>
    </row>
    <row r="21" spans="1:18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  <c r="K21" s="106"/>
      <c r="L21" s="106">
        <v>1000000</v>
      </c>
      <c r="N21" s="106"/>
      <c r="O21" s="106">
        <v>1000000</v>
      </c>
      <c r="Q21" s="106"/>
      <c r="R21" s="106">
        <v>1000000</v>
      </c>
    </row>
    <row r="22" spans="1:18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  <c r="K22" s="407"/>
      <c r="L22" s="106">
        <v>-1000000</v>
      </c>
      <c r="N22" s="407"/>
      <c r="O22" s="106">
        <v>-1000000</v>
      </c>
      <c r="Q22" s="407"/>
      <c r="R22" s="106">
        <v>-1000000</v>
      </c>
    </row>
    <row r="23" spans="1:18">
      <c r="A23" s="105" t="s">
        <v>358</v>
      </c>
      <c r="B23" s="105">
        <v>8123</v>
      </c>
      <c r="C23" s="106"/>
      <c r="D23" s="106"/>
      <c r="E23" s="106"/>
      <c r="G23" s="416"/>
      <c r="K23" s="407"/>
      <c r="N23" s="407"/>
      <c r="Q23" s="407"/>
    </row>
    <row r="24" spans="1:18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  <c r="K24" s="106">
        <v>0</v>
      </c>
      <c r="L24" s="106">
        <v>-241000</v>
      </c>
      <c r="N24" s="106">
        <v>0</v>
      </c>
      <c r="O24" s="106">
        <v>-241000</v>
      </c>
      <c r="Q24" s="106">
        <v>0</v>
      </c>
      <c r="R24" s="106">
        <v>-241000</v>
      </c>
    </row>
    <row r="25" spans="1:18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  <c r="K25" s="116">
        <f t="shared" ref="K25:L25" si="1">SUM(K19:K24)</f>
        <v>-178120</v>
      </c>
      <c r="L25" s="116">
        <f t="shared" si="1"/>
        <v>607000</v>
      </c>
      <c r="N25" s="116">
        <f t="shared" ref="N25:O25" si="2">SUM(N19:N24)</f>
        <v>0</v>
      </c>
      <c r="O25" s="116">
        <f t="shared" si="2"/>
        <v>607000</v>
      </c>
      <c r="Q25" s="116">
        <f>SUM(Q19:Q24)</f>
        <v>144420</v>
      </c>
      <c r="R25" s="116">
        <f>SUM(R19:R24)</f>
        <v>751420</v>
      </c>
    </row>
    <row r="26" spans="1:18">
      <c r="H26" s="106"/>
      <c r="I26" s="106"/>
      <c r="K26" s="106"/>
      <c r="L26" s="106"/>
      <c r="N26" s="106"/>
      <c r="O26" s="106"/>
      <c r="Q26" s="106"/>
      <c r="R26" s="106"/>
    </row>
    <row r="27" spans="1:18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  <c r="K27" s="110" t="e">
        <f>K9-K14+K25</f>
        <v>#REF!</v>
      </c>
      <c r="L27" s="110" t="e">
        <f>L9-L14+L25</f>
        <v>#REF!</v>
      </c>
      <c r="N27" s="110" t="e">
        <f>N9-N14+N25</f>
        <v>#REF!</v>
      </c>
      <c r="O27" s="110" t="e">
        <f>O9-O14+O25</f>
        <v>#REF!</v>
      </c>
      <c r="Q27" s="110">
        <f>Q9-Q14+Q25</f>
        <v>0</v>
      </c>
      <c r="R27" s="110">
        <f>R9-R14+R25</f>
        <v>-9527.0999999996275</v>
      </c>
    </row>
    <row r="28" spans="1:18">
      <c r="D28" s="105" t="s">
        <v>457</v>
      </c>
    </row>
    <row r="29" spans="1:18">
      <c r="A29" s="104" t="s">
        <v>660</v>
      </c>
      <c r="B29" s="132"/>
      <c r="E29" s="104" t="s">
        <v>661</v>
      </c>
    </row>
    <row r="30" spans="1:18">
      <c r="A30" s="104" t="s">
        <v>662</v>
      </c>
      <c r="B30" s="132"/>
      <c r="E30" s="104" t="s">
        <v>663</v>
      </c>
      <c r="G30" s="105"/>
      <c r="N30" s="219"/>
      <c r="Q30" s="219" t="s">
        <v>461</v>
      </c>
    </row>
    <row r="31" spans="1:18">
      <c r="A31" s="104" t="s">
        <v>668</v>
      </c>
      <c r="B31" s="132"/>
      <c r="E31" s="104" t="s">
        <v>669</v>
      </c>
      <c r="G31" s="219"/>
      <c r="N31" s="219"/>
      <c r="Q31" s="219" t="s">
        <v>462</v>
      </c>
    </row>
    <row r="32" spans="1:18">
      <c r="A32" s="104" t="s">
        <v>675</v>
      </c>
      <c r="B32" s="132"/>
      <c r="E32" s="104" t="s">
        <v>676</v>
      </c>
      <c r="G32" s="219"/>
      <c r="N32" s="219"/>
      <c r="Q32" s="219"/>
    </row>
    <row r="33" spans="1:5">
      <c r="A33" s="104" t="s">
        <v>684</v>
      </c>
      <c r="B33" s="132"/>
      <c r="E33" s="104" t="s">
        <v>685</v>
      </c>
    </row>
    <row r="34" spans="1:5">
      <c r="A34" s="104"/>
    </row>
    <row r="35" spans="1:5">
      <c r="A35" s="104"/>
    </row>
    <row r="36" spans="1:5">
      <c r="A36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C558-8F2E-4B08-B8E6-2D2DF6A60744}">
  <sheetPr>
    <tabColor rgb="FFFFFF00"/>
    <pageSetUpPr fitToPage="1"/>
  </sheetPr>
  <dimension ref="A1:O34"/>
  <sheetViews>
    <sheetView topLeftCell="H3" workbookViewId="0">
      <selection activeCell="A29" sqref="A29"/>
    </sheetView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7.7109375" style="106" customWidth="1"/>
    <col min="7" max="7" width="2.7109375" style="413" customWidth="1"/>
    <col min="8" max="8" width="14.7109375" style="407" customWidth="1" outlineLevel="1"/>
    <col min="9" max="9" width="13.7109375" style="105" customWidth="1" outlineLevel="1"/>
    <col min="10" max="10" width="3.28515625" style="105" customWidth="1" outlineLevel="1"/>
    <col min="11" max="11" width="14" style="105" customWidth="1" outlineLevel="1"/>
    <col min="12" max="12" width="14.85546875" style="105" customWidth="1" outlineLevel="1"/>
    <col min="13" max="13" width="2.5703125" style="105" customWidth="1" outlineLevel="1"/>
    <col min="14" max="14" width="14" style="105" customWidth="1"/>
    <col min="15" max="15" width="14.85546875" style="105" customWidth="1"/>
    <col min="16" max="16384" width="9.140625" style="105"/>
  </cols>
  <sheetData>
    <row r="1" spans="1:15">
      <c r="F1" s="105"/>
      <c r="G1" s="104"/>
      <c r="H1" s="104"/>
    </row>
    <row r="2" spans="1:15" ht="23.25">
      <c r="A2" s="460" t="s">
        <v>656</v>
      </c>
      <c r="B2" s="460"/>
      <c r="C2" s="460"/>
      <c r="D2" s="460"/>
      <c r="E2" s="460"/>
      <c r="F2" s="460"/>
      <c r="G2" s="406"/>
    </row>
    <row r="3" spans="1:15" ht="15.75">
      <c r="H3" s="117" t="s">
        <v>469</v>
      </c>
      <c r="I3" s="117"/>
      <c r="K3" s="117" t="s">
        <v>478</v>
      </c>
      <c r="L3" s="117"/>
      <c r="N3" s="117" t="s">
        <v>482</v>
      </c>
      <c r="O3" s="117"/>
    </row>
    <row r="4" spans="1:15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  <c r="K4" s="222" t="s">
        <v>472</v>
      </c>
      <c r="L4" s="222" t="s">
        <v>473</v>
      </c>
      <c r="N4" s="222" t="s">
        <v>472</v>
      </c>
      <c r="O4" s="222" t="s">
        <v>473</v>
      </c>
    </row>
    <row r="5" spans="1:15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  <c r="J5" s="106"/>
      <c r="K5" s="106">
        <f>Rozpis_Příjmy!DZ22</f>
        <v>4500</v>
      </c>
      <c r="L5" s="106">
        <f>Rozpis_Příjmy!EA22</f>
        <v>6830580</v>
      </c>
      <c r="N5" s="106">
        <f>Rozpis_Příjmy!EC22</f>
        <v>0</v>
      </c>
      <c r="O5" s="106">
        <f>Rozpis_Příjmy!ED22</f>
        <v>6830580</v>
      </c>
    </row>
    <row r="6" spans="1:15">
      <c r="A6" s="105" t="s">
        <v>267</v>
      </c>
      <c r="B6" s="105" t="s">
        <v>268</v>
      </c>
      <c r="C6" s="106">
        <f>Rozpis_Příjmy!CR122</f>
        <v>514800</v>
      </c>
      <c r="D6" s="106">
        <f>Rozpis_Příjmy!DQ122</f>
        <v>821750</v>
      </c>
      <c r="E6" s="106">
        <f>Rozpis_Příjmy!DS122</f>
        <v>801065.93</v>
      </c>
      <c r="F6" s="106">
        <f>Rozpis_Příjmy!DU122</f>
        <v>430400</v>
      </c>
      <c r="G6" s="419"/>
      <c r="H6" s="106">
        <f>Rozpis_Příjmy!DW122</f>
        <v>0</v>
      </c>
      <c r="I6" s="106">
        <f>Rozpis_Příjmy!DX122</f>
        <v>430400</v>
      </c>
      <c r="K6" s="106" t="e">
        <f>Rozpis_Příjmy!DZ122</f>
        <v>#REF!</v>
      </c>
      <c r="L6" s="106" t="e">
        <f>Rozpis_Příjmy!EA122</f>
        <v>#REF!</v>
      </c>
      <c r="N6" s="106" t="e">
        <f>Rozpis_Příjmy!EC122</f>
        <v>#REF!</v>
      </c>
      <c r="O6" s="106" t="e">
        <f>Rozpis_Příjmy!ED122</f>
        <v>#REF!</v>
      </c>
    </row>
    <row r="7" spans="1:15">
      <c r="A7" s="105" t="s">
        <v>269</v>
      </c>
      <c r="B7" s="105" t="s">
        <v>270</v>
      </c>
      <c r="C7" s="106">
        <f>Rozpis_Příjmy!CR99</f>
        <v>30000</v>
      </c>
      <c r="D7" s="106">
        <f>Rozpis_Příjmy!DQ99</f>
        <v>191500</v>
      </c>
      <c r="E7" s="106">
        <f>Rozpis_Příjmy!DS99</f>
        <v>205926</v>
      </c>
      <c r="F7" s="106">
        <f>Rozpis_Příjmy!DU99</f>
        <v>40000</v>
      </c>
      <c r="G7" s="419"/>
      <c r="H7" s="106">
        <f>Rozpis_Příjmy!DW99</f>
        <v>0</v>
      </c>
      <c r="I7" s="106">
        <f>Rozpis_Příjmy!DX99</f>
        <v>40000</v>
      </c>
      <c r="K7" s="106">
        <f>Rozpis_Příjmy!DZ99</f>
        <v>0</v>
      </c>
      <c r="L7" s="106">
        <f>Rozpis_Příjmy!EA99</f>
        <v>40000</v>
      </c>
      <c r="N7" s="106">
        <f>Rozpis_Příjmy!EC99</f>
        <v>0</v>
      </c>
      <c r="O7" s="106">
        <f>Rozpis_Příjmy!ED99</f>
        <v>40000</v>
      </c>
    </row>
    <row r="8" spans="1:15">
      <c r="A8" s="105" t="s">
        <v>271</v>
      </c>
      <c r="B8" s="105" t="s">
        <v>272</v>
      </c>
      <c r="C8" s="106">
        <f>Rozpis_Příjmy!CR35</f>
        <v>365188.89</v>
      </c>
      <c r="D8" s="106">
        <v>1624040</v>
      </c>
      <c r="E8" s="106">
        <f>Rozpis_Příjmy!DS35</f>
        <v>1624040</v>
      </c>
      <c r="F8" s="106">
        <f>Rozpis_Příjmy!DU35</f>
        <v>179700</v>
      </c>
      <c r="G8" s="419"/>
      <c r="H8" s="106">
        <f>Rozpis_Příjmy!DW35</f>
        <v>0</v>
      </c>
      <c r="I8" s="106">
        <f>Rozpis_Příjmy!DX35</f>
        <v>179700</v>
      </c>
      <c r="K8" s="106">
        <f>Rozpis_Příjmy!DZ35</f>
        <v>72500</v>
      </c>
      <c r="L8" s="106">
        <f>Rozpis_Příjmy!EA35</f>
        <v>252200</v>
      </c>
      <c r="N8" s="106">
        <f>Rozpis_Příjmy!EC35</f>
        <v>48000</v>
      </c>
      <c r="O8" s="106">
        <f>Rozpis_Příjmy!ED35</f>
        <v>300200</v>
      </c>
    </row>
    <row r="9" spans="1:15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  <c r="K9" s="116" t="e">
        <f>SUM(K5:K8)</f>
        <v>#REF!</v>
      </c>
      <c r="L9" s="116" t="e">
        <f>SUM(L5:L8)</f>
        <v>#REF!</v>
      </c>
      <c r="N9" s="116" t="e">
        <f>SUM(N5:N8)</f>
        <v>#REF!</v>
      </c>
      <c r="O9" s="116" t="e">
        <f>SUM(O5:O8)</f>
        <v>#REF!</v>
      </c>
    </row>
    <row r="10" spans="1:15">
      <c r="H10" s="106"/>
      <c r="I10" s="106"/>
      <c r="K10" s="106"/>
      <c r="L10" s="106"/>
      <c r="N10" s="106"/>
      <c r="O10" s="106"/>
    </row>
    <row r="11" spans="1:15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  <c r="K11" s="114"/>
      <c r="L11" s="114"/>
      <c r="N11" s="114"/>
      <c r="O11" s="114"/>
    </row>
    <row r="12" spans="1:15">
      <c r="A12" s="105" t="s">
        <v>274</v>
      </c>
      <c r="B12" s="105" t="s">
        <v>275</v>
      </c>
      <c r="C12" s="106">
        <f>Rozpis_Výdaje!DC350</f>
        <v>6251689.0999999996</v>
      </c>
      <c r="D12" s="106">
        <v>7077159</v>
      </c>
      <c r="E12" s="106">
        <f>Rozpis_Výdaje!EI350</f>
        <v>6909647.4500000002</v>
      </c>
      <c r="F12" s="106">
        <f>Rozpis_Výdaje!EK350</f>
        <v>5939880.0999999996</v>
      </c>
      <c r="G12" s="419"/>
      <c r="H12" s="106">
        <f>Rozpis_Výdaje!EM350</f>
        <v>70380</v>
      </c>
      <c r="I12" s="106">
        <f>Rozpis_Výdaje!EN350</f>
        <v>6010260.0999999996</v>
      </c>
      <c r="J12" s="106"/>
      <c r="K12" s="106">
        <f>Rozpis_Výdaje!EP350</f>
        <v>182700</v>
      </c>
      <c r="L12" s="106">
        <f>Rozpis_Výdaje!EQ350</f>
        <v>6192960.0999999996</v>
      </c>
      <c r="N12" s="106">
        <f>Rozpis_Výdaje!FB350</f>
        <v>-13000</v>
      </c>
      <c r="O12" s="106">
        <f>Rozpis_Výdaje!FC350</f>
        <v>6179960.0999999996</v>
      </c>
    </row>
    <row r="13" spans="1:15">
      <c r="A13" s="105" t="s">
        <v>276</v>
      </c>
      <c r="B13" s="105" t="s">
        <v>277</v>
      </c>
      <c r="C13" s="106">
        <f>Rozpis_Výdaje!DC353</f>
        <v>539700</v>
      </c>
      <c r="D13" s="106">
        <v>1791241</v>
      </c>
      <c r="E13" s="106">
        <f>Rozpis_Výdaje!EI353</f>
        <v>1491803.66</v>
      </c>
      <c r="F13" s="106">
        <f>Rozpis_Výdaje!EK353</f>
        <v>2258340</v>
      </c>
      <c r="G13" s="419"/>
      <c r="H13" s="106">
        <f>Rozpis_Výdaje!EM353</f>
        <v>-7300</v>
      </c>
      <c r="I13" s="106">
        <f>Rozpis_Výdaje!EN353</f>
        <v>2251040</v>
      </c>
      <c r="J13" s="106"/>
      <c r="K13" s="106">
        <f>Rozpis_Výdaje!EP353</f>
        <v>0</v>
      </c>
      <c r="L13" s="106">
        <f>Rozpis_Výdaje!EQ353</f>
        <v>2251040</v>
      </c>
      <c r="N13" s="106">
        <f>Rozpis_Výdaje!FB353</f>
        <v>61000</v>
      </c>
      <c r="O13" s="106">
        <f>Rozpis_Výdaje!FC353</f>
        <v>2312040</v>
      </c>
    </row>
    <row r="14" spans="1:15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  <c r="J14" s="106"/>
      <c r="K14" s="116">
        <f>K12+K13</f>
        <v>182700</v>
      </c>
      <c r="L14" s="116">
        <f>L12+L13</f>
        <v>8444000.0999999996</v>
      </c>
      <c r="N14" s="116">
        <f>N12+N13</f>
        <v>48000</v>
      </c>
      <c r="O14" s="116">
        <f>O12+O13</f>
        <v>8492000.0999999996</v>
      </c>
    </row>
    <row r="15" spans="1:15">
      <c r="H15" s="106"/>
      <c r="I15" s="106"/>
      <c r="J15" s="106"/>
      <c r="K15" s="106"/>
      <c r="L15" s="106"/>
      <c r="N15" s="106"/>
      <c r="O15" s="106"/>
    </row>
    <row r="16" spans="1:15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  <c r="J16" s="106"/>
      <c r="K16" s="108" t="e">
        <f>K9-K14</f>
        <v>#REF!</v>
      </c>
      <c r="L16" s="108" t="e">
        <f>L9-L14</f>
        <v>#REF!</v>
      </c>
      <c r="N16" s="108" t="e">
        <f>N9-N14</f>
        <v>#REF!</v>
      </c>
      <c r="O16" s="108" t="e">
        <f>O9-O14</f>
        <v>#REF!</v>
      </c>
    </row>
    <row r="17" spans="1:15">
      <c r="G17" s="416"/>
      <c r="H17" s="106"/>
      <c r="I17" s="106"/>
      <c r="K17" s="106"/>
      <c r="L17" s="106"/>
      <c r="N17" s="106"/>
      <c r="O17" s="106"/>
    </row>
    <row r="18" spans="1:15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  <c r="K18" s="114"/>
      <c r="L18" s="114"/>
      <c r="N18" s="114"/>
      <c r="O18" s="114"/>
    </row>
    <row r="19" spans="1:15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  <c r="K19" s="106">
        <v>-178120</v>
      </c>
      <c r="L19" s="106">
        <v>848000</v>
      </c>
      <c r="N19" s="106"/>
      <c r="O19" s="106">
        <v>848000</v>
      </c>
    </row>
    <row r="20" spans="1:15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  <c r="K20" s="106"/>
      <c r="L20" s="106"/>
      <c r="N20" s="106"/>
      <c r="O20" s="106"/>
    </row>
    <row r="21" spans="1:15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  <c r="K21" s="106"/>
      <c r="L21" s="106">
        <v>1000000</v>
      </c>
      <c r="N21" s="106"/>
      <c r="O21" s="106">
        <v>1000000</v>
      </c>
    </row>
    <row r="22" spans="1:15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  <c r="K22" s="407"/>
      <c r="L22" s="106">
        <v>-1000000</v>
      </c>
      <c r="N22" s="407"/>
      <c r="O22" s="106">
        <v>-1000000</v>
      </c>
    </row>
    <row r="23" spans="1:15">
      <c r="A23" s="105" t="s">
        <v>358</v>
      </c>
      <c r="B23" s="105">
        <v>8123</v>
      </c>
      <c r="C23" s="106"/>
      <c r="D23" s="106"/>
      <c r="E23" s="106"/>
      <c r="G23" s="416"/>
      <c r="K23" s="407"/>
      <c r="N23" s="407"/>
    </row>
    <row r="24" spans="1:15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  <c r="K24" s="106">
        <v>0</v>
      </c>
      <c r="L24" s="106">
        <v>-241000</v>
      </c>
      <c r="N24" s="106">
        <v>0</v>
      </c>
      <c r="O24" s="106">
        <v>-241000</v>
      </c>
    </row>
    <row r="25" spans="1:15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  <c r="K25" s="116">
        <f t="shared" ref="K25:L25" si="1">SUM(K19:K24)</f>
        <v>-178120</v>
      </c>
      <c r="L25" s="116">
        <f t="shared" si="1"/>
        <v>607000</v>
      </c>
      <c r="N25" s="116">
        <f t="shared" ref="N25:O25" si="2">SUM(N19:N24)</f>
        <v>0</v>
      </c>
      <c r="O25" s="116">
        <f t="shared" si="2"/>
        <v>607000</v>
      </c>
    </row>
    <row r="26" spans="1:15">
      <c r="H26" s="106"/>
      <c r="I26" s="106"/>
      <c r="K26" s="106"/>
      <c r="L26" s="106"/>
      <c r="N26" s="106"/>
      <c r="O26" s="106"/>
    </row>
    <row r="27" spans="1:15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  <c r="K27" s="110" t="e">
        <f>K9-K14+K25</f>
        <v>#REF!</v>
      </c>
      <c r="L27" s="110" t="e">
        <f>L9-L14+L25</f>
        <v>#REF!</v>
      </c>
      <c r="N27" s="110" t="e">
        <f>N9-N14+N25</f>
        <v>#REF!</v>
      </c>
      <c r="O27" s="110" t="e">
        <f>O9-O14+O25</f>
        <v>#REF!</v>
      </c>
    </row>
    <row r="28" spans="1:15">
      <c r="D28" s="105" t="s">
        <v>457</v>
      </c>
    </row>
    <row r="29" spans="1:15">
      <c r="A29" s="104" t="s">
        <v>660</v>
      </c>
      <c r="B29" s="132"/>
      <c r="E29" s="104" t="s">
        <v>661</v>
      </c>
    </row>
    <row r="30" spans="1:15">
      <c r="A30" s="104" t="s">
        <v>662</v>
      </c>
      <c r="B30" s="132"/>
      <c r="E30" s="104" t="s">
        <v>663</v>
      </c>
      <c r="G30" s="105"/>
      <c r="N30" s="219" t="s">
        <v>461</v>
      </c>
    </row>
    <row r="31" spans="1:15">
      <c r="A31" s="104" t="s">
        <v>668</v>
      </c>
      <c r="B31" s="132"/>
      <c r="E31" s="104" t="s">
        <v>669</v>
      </c>
      <c r="G31" s="219"/>
      <c r="N31" s="219" t="s">
        <v>462</v>
      </c>
    </row>
    <row r="32" spans="1:15">
      <c r="A32" s="104" t="s">
        <v>675</v>
      </c>
      <c r="B32" s="132"/>
      <c r="E32" s="104" t="s">
        <v>676</v>
      </c>
      <c r="G32" s="219"/>
      <c r="N32" s="219"/>
    </row>
    <row r="33" spans="1:1">
      <c r="A33" s="104"/>
    </row>
    <row r="34" spans="1:1">
      <c r="A34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7D4E-C9E4-4A34-98B8-70F66E2B1A3A}">
  <sheetPr>
    <tabColor rgb="FFFFFF00"/>
    <pageSetUpPr fitToPage="1"/>
  </sheetPr>
  <dimension ref="A1:L33"/>
  <sheetViews>
    <sheetView topLeftCell="E1" workbookViewId="0">
      <selection activeCell="A29" sqref="A29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8.28515625" style="106" customWidth="1"/>
    <col min="7" max="7" width="2.7109375" style="413" customWidth="1"/>
    <col min="8" max="8" width="14.7109375" style="407" customWidth="1"/>
    <col min="9" max="9" width="13.7109375" style="105" customWidth="1"/>
    <col min="10" max="10" width="3.28515625" style="105" customWidth="1"/>
    <col min="11" max="11" width="14" style="105" customWidth="1"/>
    <col min="12" max="12" width="14.85546875" style="105" customWidth="1"/>
    <col min="13" max="16384" width="9.140625" style="105"/>
  </cols>
  <sheetData>
    <row r="1" spans="1:12">
      <c r="F1" s="105"/>
      <c r="G1" s="104"/>
      <c r="H1" s="104"/>
    </row>
    <row r="2" spans="1:12" ht="23.25">
      <c r="A2" s="460" t="s">
        <v>656</v>
      </c>
      <c r="B2" s="460"/>
      <c r="C2" s="460"/>
      <c r="D2" s="460"/>
      <c r="E2" s="460"/>
      <c r="F2" s="460"/>
      <c r="G2" s="406"/>
    </row>
    <row r="3" spans="1:12" ht="15.75">
      <c r="H3" s="117" t="s">
        <v>469</v>
      </c>
      <c r="I3" s="117"/>
      <c r="K3" s="117" t="s">
        <v>478</v>
      </c>
      <c r="L3" s="117"/>
    </row>
    <row r="4" spans="1:12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  <c r="K4" s="222" t="s">
        <v>472</v>
      </c>
      <c r="L4" s="222" t="s">
        <v>473</v>
      </c>
    </row>
    <row r="5" spans="1:12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  <c r="J5" s="106"/>
      <c r="K5" s="106">
        <f>Rozpis_Příjmy!DZ22</f>
        <v>4500</v>
      </c>
      <c r="L5" s="106">
        <f>Rozpis_Příjmy!EA22</f>
        <v>6830580</v>
      </c>
    </row>
    <row r="6" spans="1:12">
      <c r="A6" s="105" t="s">
        <v>267</v>
      </c>
      <c r="B6" s="105" t="s">
        <v>268</v>
      </c>
      <c r="C6" s="106">
        <f>Rozpis_Příjmy!CR122</f>
        <v>514800</v>
      </c>
      <c r="D6" s="106">
        <f>Rozpis_Příjmy!DQ122</f>
        <v>821750</v>
      </c>
      <c r="E6" s="106">
        <f>Rozpis_Příjmy!DS122</f>
        <v>801065.93</v>
      </c>
      <c r="F6" s="106">
        <f>Rozpis_Příjmy!DU122</f>
        <v>430400</v>
      </c>
      <c r="G6" s="419"/>
      <c r="H6" s="106">
        <f>Rozpis_Příjmy!DW122</f>
        <v>0</v>
      </c>
      <c r="I6" s="106">
        <f>Rozpis_Příjmy!DX122</f>
        <v>430400</v>
      </c>
      <c r="K6" s="106" t="e">
        <f>Rozpis_Příjmy!DZ122</f>
        <v>#REF!</v>
      </c>
      <c r="L6" s="106" t="e">
        <f>Rozpis_Příjmy!EA122</f>
        <v>#REF!</v>
      </c>
    </row>
    <row r="7" spans="1:12">
      <c r="A7" s="105" t="s">
        <v>269</v>
      </c>
      <c r="B7" s="105" t="s">
        <v>270</v>
      </c>
      <c r="C7" s="106">
        <f>Rozpis_Příjmy!CR99</f>
        <v>30000</v>
      </c>
      <c r="D7" s="106">
        <f>Rozpis_Příjmy!DQ99</f>
        <v>191500</v>
      </c>
      <c r="E7" s="106">
        <f>Rozpis_Příjmy!DS99</f>
        <v>205926</v>
      </c>
      <c r="F7" s="106">
        <f>Rozpis_Příjmy!DU99</f>
        <v>40000</v>
      </c>
      <c r="G7" s="419"/>
      <c r="H7" s="106">
        <f>Rozpis_Příjmy!DW99</f>
        <v>0</v>
      </c>
      <c r="I7" s="106">
        <f>Rozpis_Příjmy!DX99</f>
        <v>40000</v>
      </c>
      <c r="K7" s="106">
        <f>Rozpis_Příjmy!DZ99</f>
        <v>0</v>
      </c>
      <c r="L7" s="106">
        <f>Rozpis_Příjmy!EA99</f>
        <v>40000</v>
      </c>
    </row>
    <row r="8" spans="1:12">
      <c r="A8" s="105" t="s">
        <v>271</v>
      </c>
      <c r="B8" s="105" t="s">
        <v>272</v>
      </c>
      <c r="C8" s="106">
        <f>Rozpis_Příjmy!CR35</f>
        <v>365188.89</v>
      </c>
      <c r="D8" s="106">
        <v>1624040</v>
      </c>
      <c r="E8" s="106">
        <f>Rozpis_Příjmy!DS35</f>
        <v>1624040</v>
      </c>
      <c r="F8" s="106">
        <f>Rozpis_Příjmy!DU35</f>
        <v>179700</v>
      </c>
      <c r="G8" s="419"/>
      <c r="H8" s="106">
        <f>Rozpis_Příjmy!DW35</f>
        <v>0</v>
      </c>
      <c r="I8" s="106">
        <f>Rozpis_Příjmy!DX35</f>
        <v>179700</v>
      </c>
      <c r="K8" s="106">
        <f>Rozpis_Příjmy!DZ35</f>
        <v>72500</v>
      </c>
      <c r="L8" s="106">
        <f>Rozpis_Příjmy!EA35</f>
        <v>252200</v>
      </c>
    </row>
    <row r="9" spans="1:12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  <c r="K9" s="116" t="e">
        <f>SUM(K5:K8)</f>
        <v>#REF!</v>
      </c>
      <c r="L9" s="116" t="e">
        <f>SUM(L5:L8)</f>
        <v>#REF!</v>
      </c>
    </row>
    <row r="10" spans="1:12">
      <c r="H10" s="106"/>
      <c r="I10" s="106"/>
      <c r="K10" s="106"/>
      <c r="L10" s="106"/>
    </row>
    <row r="11" spans="1:12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  <c r="K11" s="114"/>
      <c r="L11" s="114"/>
    </row>
    <row r="12" spans="1:12">
      <c r="A12" s="105" t="s">
        <v>274</v>
      </c>
      <c r="B12" s="105" t="s">
        <v>275</v>
      </c>
      <c r="C12" s="106">
        <f>Rozpis_Výdaje!DC350</f>
        <v>6251689.0999999996</v>
      </c>
      <c r="D12" s="106">
        <v>7077159</v>
      </c>
      <c r="E12" s="106">
        <f>Rozpis_Výdaje!EI350</f>
        <v>6909647.4500000002</v>
      </c>
      <c r="F12" s="106">
        <f>Rozpis_Výdaje!EK350</f>
        <v>5939880.0999999996</v>
      </c>
      <c r="G12" s="419"/>
      <c r="H12" s="106">
        <f>Rozpis_Výdaje!EM350</f>
        <v>70380</v>
      </c>
      <c r="I12" s="106">
        <f>Rozpis_Výdaje!EN350</f>
        <v>6010260.0999999996</v>
      </c>
      <c r="J12" s="106"/>
      <c r="K12" s="106">
        <f>Rozpis_Výdaje!EP350</f>
        <v>182700</v>
      </c>
      <c r="L12" s="106">
        <f>Rozpis_Výdaje!EQ350</f>
        <v>6192960.0999999996</v>
      </c>
    </row>
    <row r="13" spans="1:12">
      <c r="A13" s="105" t="s">
        <v>276</v>
      </c>
      <c r="B13" s="105" t="s">
        <v>277</v>
      </c>
      <c r="C13" s="106">
        <f>Rozpis_Výdaje!DC353</f>
        <v>539700</v>
      </c>
      <c r="D13" s="106">
        <v>1791241</v>
      </c>
      <c r="E13" s="106">
        <f>Rozpis_Výdaje!EI353</f>
        <v>1491803.66</v>
      </c>
      <c r="F13" s="106">
        <f>Rozpis_Výdaje!EK353</f>
        <v>2258340</v>
      </c>
      <c r="G13" s="419"/>
      <c r="H13" s="106">
        <f>Rozpis_Výdaje!EM353</f>
        <v>-7300</v>
      </c>
      <c r="I13" s="106">
        <f>Rozpis_Výdaje!EN353</f>
        <v>2251040</v>
      </c>
      <c r="J13" s="106"/>
      <c r="K13" s="106">
        <f>Rozpis_Výdaje!EP353</f>
        <v>0</v>
      </c>
      <c r="L13" s="106">
        <f>Rozpis_Výdaje!EQ353</f>
        <v>2251040</v>
      </c>
    </row>
    <row r="14" spans="1:12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  <c r="J14" s="106"/>
      <c r="K14" s="116">
        <f>K12+K13</f>
        <v>182700</v>
      </c>
      <c r="L14" s="116">
        <f>L12+L13</f>
        <v>8444000.0999999996</v>
      </c>
    </row>
    <row r="15" spans="1:12">
      <c r="H15" s="106"/>
      <c r="I15" s="106"/>
      <c r="J15" s="106"/>
      <c r="K15" s="106"/>
      <c r="L15" s="106"/>
    </row>
    <row r="16" spans="1:12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  <c r="J16" s="106"/>
      <c r="K16" s="108" t="e">
        <f>K9-K14</f>
        <v>#REF!</v>
      </c>
      <c r="L16" s="108" t="e">
        <f>L9-L14</f>
        <v>#REF!</v>
      </c>
    </row>
    <row r="17" spans="1:12">
      <c r="G17" s="416"/>
      <c r="H17" s="106"/>
      <c r="I17" s="106"/>
      <c r="K17" s="106"/>
      <c r="L17" s="106"/>
    </row>
    <row r="18" spans="1:12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  <c r="K18" s="114"/>
      <c r="L18" s="114"/>
    </row>
    <row r="19" spans="1:12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  <c r="K19" s="106">
        <v>-178120</v>
      </c>
      <c r="L19" s="106">
        <v>848000</v>
      </c>
    </row>
    <row r="20" spans="1:12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  <c r="K20" s="106"/>
      <c r="L20" s="106"/>
    </row>
    <row r="21" spans="1:12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  <c r="K21" s="106"/>
      <c r="L21" s="106">
        <v>1000000</v>
      </c>
    </row>
    <row r="22" spans="1:12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  <c r="K22" s="407"/>
      <c r="L22" s="106">
        <v>-1000000</v>
      </c>
    </row>
    <row r="23" spans="1:12">
      <c r="A23" s="105" t="s">
        <v>358</v>
      </c>
      <c r="B23" s="105">
        <v>8123</v>
      </c>
      <c r="C23" s="106"/>
      <c r="D23" s="106"/>
      <c r="E23" s="106"/>
      <c r="G23" s="416"/>
      <c r="K23" s="407"/>
    </row>
    <row r="24" spans="1:12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  <c r="K24" s="106">
        <v>0</v>
      </c>
      <c r="L24" s="106">
        <v>-241000</v>
      </c>
    </row>
    <row r="25" spans="1:12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  <c r="K25" s="116">
        <f t="shared" ref="K25:L25" si="1">SUM(K19:K24)</f>
        <v>-178120</v>
      </c>
      <c r="L25" s="116">
        <f t="shared" si="1"/>
        <v>607000</v>
      </c>
    </row>
    <row r="26" spans="1:12">
      <c r="H26" s="106"/>
      <c r="I26" s="106"/>
      <c r="K26" s="106"/>
      <c r="L26" s="106"/>
    </row>
    <row r="27" spans="1:12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  <c r="K27" s="110" t="e">
        <f>K9-K14+K25</f>
        <v>#REF!</v>
      </c>
      <c r="L27" s="110" t="e">
        <f>L9-L14+L25</f>
        <v>#REF!</v>
      </c>
    </row>
    <row r="28" spans="1:12">
      <c r="D28" s="105" t="s">
        <v>457</v>
      </c>
    </row>
    <row r="29" spans="1:12">
      <c r="A29" s="104" t="s">
        <v>660</v>
      </c>
      <c r="B29" s="132"/>
      <c r="E29" s="104" t="s">
        <v>661</v>
      </c>
    </row>
    <row r="30" spans="1:12">
      <c r="A30" s="104" t="s">
        <v>662</v>
      </c>
      <c r="B30" s="132"/>
      <c r="E30" s="104" t="s">
        <v>663</v>
      </c>
      <c r="G30" s="105"/>
      <c r="J30" s="219" t="s">
        <v>461</v>
      </c>
    </row>
    <row r="31" spans="1:12">
      <c r="A31" s="104" t="s">
        <v>668</v>
      </c>
      <c r="B31" s="132"/>
      <c r="E31" s="104" t="s">
        <v>669</v>
      </c>
      <c r="G31" s="219"/>
      <c r="J31" s="219" t="s">
        <v>462</v>
      </c>
    </row>
    <row r="32" spans="1:12">
      <c r="A32" s="104"/>
    </row>
    <row r="33" spans="1:1">
      <c r="A33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3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7109375" style="105" customWidth="1"/>
    <col min="8" max="8" width="11.42578125" style="105" bestFit="1" customWidth="1"/>
    <col min="9" max="9" width="14.42578125" style="105" bestFit="1" customWidth="1"/>
    <col min="10" max="10" width="1.5703125" style="105" customWidth="1"/>
    <col min="11" max="11" width="15.28515625" style="105" customWidth="1"/>
    <col min="12" max="12" width="12.140625" style="105" customWidth="1"/>
    <col min="13" max="16384" width="9.140625" style="105"/>
  </cols>
  <sheetData>
    <row r="2" spans="1:12" ht="23.25">
      <c r="A2" s="460" t="s">
        <v>464</v>
      </c>
      <c r="B2" s="460"/>
      <c r="C2" s="460"/>
      <c r="D2" s="460"/>
      <c r="E2" s="460"/>
      <c r="F2" s="460"/>
    </row>
    <row r="3" spans="1:12" ht="15.75">
      <c r="H3" s="117" t="s">
        <v>469</v>
      </c>
      <c r="I3" s="117"/>
      <c r="K3" s="117" t="s">
        <v>478</v>
      </c>
      <c r="L3" s="117"/>
    </row>
    <row r="4" spans="1:12" ht="45">
      <c r="A4" s="111" t="s">
        <v>263</v>
      </c>
      <c r="B4" s="111" t="s">
        <v>5</v>
      </c>
      <c r="C4" s="112" t="s">
        <v>449</v>
      </c>
      <c r="D4" s="112" t="s">
        <v>451</v>
      </c>
      <c r="E4" s="112" t="s">
        <v>450</v>
      </c>
      <c r="F4" s="112" t="s">
        <v>471</v>
      </c>
      <c r="H4" s="222" t="s">
        <v>472</v>
      </c>
      <c r="I4" s="222" t="s">
        <v>473</v>
      </c>
      <c r="K4" s="222" t="s">
        <v>472</v>
      </c>
      <c r="L4" s="222" t="s">
        <v>473</v>
      </c>
    </row>
    <row r="5" spans="1:12">
      <c r="A5" s="105" t="s">
        <v>265</v>
      </c>
      <c r="B5" s="105" t="s">
        <v>266</v>
      </c>
      <c r="C5" s="106">
        <f>Rozpis_Příjmy!L22</f>
        <v>4972000</v>
      </c>
      <c r="D5" s="106">
        <f>Rozpis_Příjmy!AH22</f>
        <v>4661600</v>
      </c>
      <c r="E5" s="106">
        <f>Rozpis_Příjmy!AL22</f>
        <v>4655908.6900000004</v>
      </c>
      <c r="F5" s="106">
        <f>Rozpis_Příjmy!AN22</f>
        <v>4104000</v>
      </c>
      <c r="H5" s="106">
        <f>Rozpis_Příjmy!AZ22</f>
        <v>0</v>
      </c>
      <c r="I5" s="106">
        <f>Rozpis_Příjmy!BA22</f>
        <v>4104000</v>
      </c>
      <c r="K5" s="106">
        <f>Rozpis_Příjmy!BC22</f>
        <v>0</v>
      </c>
      <c r="L5" s="106">
        <f>Rozpis_Příjmy!BD22</f>
        <v>4104000</v>
      </c>
    </row>
    <row r="6" spans="1:12">
      <c r="A6" s="105" t="s">
        <v>267</v>
      </c>
      <c r="B6" s="105" t="s">
        <v>268</v>
      </c>
      <c r="C6" s="106">
        <f>Rozpis_Příjmy!L122</f>
        <v>241200</v>
      </c>
      <c r="D6" s="106">
        <f>Rozpis_Příjmy!AH122</f>
        <v>240800</v>
      </c>
      <c r="E6" s="106">
        <f>Rozpis_Příjmy!AL122</f>
        <v>219140.41</v>
      </c>
      <c r="F6" s="106">
        <f>Rozpis_Příjmy!AN122</f>
        <v>203000</v>
      </c>
      <c r="H6" s="106">
        <f>Rozpis_Příjmy!AZ122</f>
        <v>0</v>
      </c>
      <c r="I6" s="106">
        <f>Rozpis_Příjmy!BA122</f>
        <v>203000</v>
      </c>
      <c r="K6" s="106">
        <f>Rozpis_Příjmy!BC122</f>
        <v>0</v>
      </c>
      <c r="L6" s="106">
        <f>Rozpis_Příjmy!BD122</f>
        <v>203000</v>
      </c>
    </row>
    <row r="7" spans="1:12">
      <c r="A7" s="105" t="s">
        <v>269</v>
      </c>
      <c r="B7" s="105" t="s">
        <v>270</v>
      </c>
      <c r="C7" s="106">
        <f>Rozpis_Příjmy!L99</f>
        <v>1000</v>
      </c>
      <c r="D7" s="106">
        <f>Rozpis_Příjmy!AH99</f>
        <v>28590</v>
      </c>
      <c r="E7" s="106">
        <f>Rozpis_Příjmy!AL99</f>
        <v>28557</v>
      </c>
      <c r="F7" s="106">
        <f>Rozpis_Příjmy!AN99</f>
        <v>1000</v>
      </c>
      <c r="H7" s="106">
        <f>Rozpis_Příjmy!AZ99</f>
        <v>0</v>
      </c>
      <c r="I7" s="106">
        <f>Rozpis_Příjmy!BA99</f>
        <v>1000</v>
      </c>
      <c r="K7" s="106">
        <f>Rozpis_Příjmy!BC99</f>
        <v>0</v>
      </c>
      <c r="L7" s="106">
        <f>Rozpis_Příjmy!BD99</f>
        <v>1000</v>
      </c>
    </row>
    <row r="8" spans="1:12">
      <c r="A8" s="105" t="s">
        <v>271</v>
      </c>
      <c r="B8" s="105" t="s">
        <v>272</v>
      </c>
      <c r="C8" s="106">
        <f>Rozpis_Příjmy!L35</f>
        <v>76800</v>
      </c>
      <c r="D8" s="106">
        <f>Rozpis_Příjmy!AH35</f>
        <v>1304250</v>
      </c>
      <c r="E8" s="106">
        <f>Rozpis_Příjmy!AL35</f>
        <v>1296911</v>
      </c>
      <c r="F8" s="106">
        <f>Rozpis_Příjmy!AN35</f>
        <v>84000</v>
      </c>
      <c r="H8" s="106">
        <f>Rozpis_Příjmy!AZ35</f>
        <v>211541.07</v>
      </c>
      <c r="I8" s="106">
        <f>Rozpis_Příjmy!BA35</f>
        <v>295541.07</v>
      </c>
      <c r="K8" s="106">
        <f>Rozpis_Příjmy!BC35</f>
        <v>0</v>
      </c>
      <c r="L8" s="106">
        <f>Rozpis_Příjmy!BD35</f>
        <v>295541.07</v>
      </c>
    </row>
    <row r="9" spans="1:12" s="117" customFormat="1" ht="16.5" thickBot="1">
      <c r="A9" s="115" t="s">
        <v>261</v>
      </c>
      <c r="B9" s="115"/>
      <c r="C9" s="116">
        <f>SUM(C5:C8)</f>
        <v>5291000</v>
      </c>
      <c r="D9" s="116">
        <f>SUM(D5:D8)</f>
        <v>6235240</v>
      </c>
      <c r="E9" s="116">
        <f>SUM(E5:E8)</f>
        <v>6200517.1000000006</v>
      </c>
      <c r="F9" s="116">
        <f>SUM(F5:F8)</f>
        <v>4392000</v>
      </c>
      <c r="H9" s="116">
        <f>SUM(H5:H8)</f>
        <v>211541.07</v>
      </c>
      <c r="I9" s="116">
        <f>SUM(I5:I8)</f>
        <v>4603541.07</v>
      </c>
      <c r="K9" s="116">
        <f>SUM(K5:K8)</f>
        <v>0</v>
      </c>
      <c r="L9" s="116">
        <f>SUM(L5:L8)</f>
        <v>4603541.07</v>
      </c>
    </row>
    <row r="11" spans="1:12" ht="15.75">
      <c r="A11" s="111" t="s">
        <v>273</v>
      </c>
      <c r="B11" s="111" t="s">
        <v>5</v>
      </c>
      <c r="C11" s="111"/>
      <c r="D11" s="111"/>
      <c r="E11" s="111"/>
      <c r="F11" s="114"/>
      <c r="H11" s="221"/>
      <c r="I11" s="221"/>
      <c r="K11" s="221"/>
      <c r="L11" s="221"/>
    </row>
    <row r="12" spans="1:12">
      <c r="A12" s="105" t="s">
        <v>274</v>
      </c>
      <c r="B12" s="105" t="s">
        <v>275</v>
      </c>
      <c r="C12" s="106">
        <f>Rozpis_Výdaje!L350</f>
        <v>4309999.92</v>
      </c>
      <c r="D12" s="106">
        <f>Rozpis_Výdaje!AE350</f>
        <v>4954150</v>
      </c>
      <c r="E12" s="106">
        <f>Rozpis_Výdaje!AH350</f>
        <v>4665142.3800000008</v>
      </c>
      <c r="F12" s="106">
        <f>Rozpis_Výdaje!AK350</f>
        <v>4265000</v>
      </c>
      <c r="H12" s="106">
        <f>Rozpis_Výdaje!AR350</f>
        <v>100000</v>
      </c>
      <c r="I12" s="106">
        <f>Rozpis_Výdaje!AS350</f>
        <v>4365000</v>
      </c>
      <c r="K12" s="106">
        <f>Rozpis_Výdaje!AU350</f>
        <v>150300</v>
      </c>
      <c r="L12" s="106">
        <f>Rozpis_Výdaje!AV350</f>
        <v>4515300</v>
      </c>
    </row>
    <row r="13" spans="1:12">
      <c r="A13" s="213" t="s">
        <v>458</v>
      </c>
      <c r="B13" s="105">
        <v>5171</v>
      </c>
      <c r="C13" s="106">
        <f>Rozpis_Výdaje!L351</f>
        <v>446000</v>
      </c>
      <c r="D13" s="106">
        <f>Rozpis_Výdaje!AE351</f>
        <v>935250</v>
      </c>
      <c r="E13" s="106">
        <f>Rozpis_Výdaje!AH351</f>
        <v>897748.58000000007</v>
      </c>
      <c r="F13" s="106">
        <f>Rozpis_Výdaje!AK351</f>
        <v>400000</v>
      </c>
      <c r="H13" s="106">
        <f>Rozpis_Výdaje!AR351</f>
        <v>0</v>
      </c>
      <c r="I13" s="106">
        <f>Rozpis_Výdaje!AS351</f>
        <v>400000</v>
      </c>
      <c r="K13" s="106">
        <f>Rozpis_Výdaje!AU351</f>
        <v>0</v>
      </c>
      <c r="L13" s="106">
        <f>Rozpis_Výdaje!AV351</f>
        <v>400000</v>
      </c>
    </row>
    <row r="14" spans="1:12">
      <c r="A14" s="105" t="s">
        <v>276</v>
      </c>
      <c r="B14" s="105" t="s">
        <v>277</v>
      </c>
      <c r="C14" s="106">
        <f>Rozpis_Výdaje!L353</f>
        <v>1760000</v>
      </c>
      <c r="D14" s="106">
        <f>Rozpis_Výdaje!AE353</f>
        <v>1365610</v>
      </c>
      <c r="E14" s="106">
        <f>Rozpis_Výdaje!AH353</f>
        <v>1363785.12</v>
      </c>
      <c r="F14" s="106">
        <f>Rozpis_Výdaje!AK353</f>
        <v>564000</v>
      </c>
      <c r="G14" s="105" t="s">
        <v>457</v>
      </c>
      <c r="H14" s="106">
        <f>Rozpis_Výdaje!AR353</f>
        <v>0</v>
      </c>
      <c r="I14" s="106">
        <f>Rozpis_Výdaje!AS353</f>
        <v>564000</v>
      </c>
      <c r="K14" s="106">
        <f>Rozpis_Výdaje!AU353</f>
        <v>0</v>
      </c>
      <c r="L14" s="106">
        <f>Rozpis_Výdaje!AV353</f>
        <v>564000</v>
      </c>
    </row>
    <row r="15" spans="1:12" s="117" customFormat="1" ht="16.5" thickBot="1">
      <c r="A15" s="115" t="s">
        <v>262</v>
      </c>
      <c r="B15" s="115"/>
      <c r="C15" s="116">
        <f>C12+C14</f>
        <v>6069999.9199999999</v>
      </c>
      <c r="D15" s="116">
        <f>D12+D14</f>
        <v>6319760</v>
      </c>
      <c r="E15" s="116">
        <f>E12+E14</f>
        <v>6028927.5000000009</v>
      </c>
      <c r="F15" s="116">
        <f>F12+F14</f>
        <v>4829000</v>
      </c>
      <c r="H15" s="116">
        <f t="shared" ref="H15:I15" si="0">H12+H14</f>
        <v>100000</v>
      </c>
      <c r="I15" s="116">
        <f t="shared" si="0"/>
        <v>4929000</v>
      </c>
      <c r="K15" s="116">
        <f t="shared" ref="K15:L15" si="1">K12+K14</f>
        <v>150300</v>
      </c>
      <c r="L15" s="116">
        <f t="shared" si="1"/>
        <v>5079300</v>
      </c>
    </row>
    <row r="17" spans="1:12" ht="15.75" thickBot="1">
      <c r="A17" s="107" t="s">
        <v>278</v>
      </c>
      <c r="B17" s="107"/>
      <c r="C17" s="108">
        <f>C9-C15</f>
        <v>-778999.91999999993</v>
      </c>
      <c r="D17" s="108">
        <f>D9-D15</f>
        <v>-84520</v>
      </c>
      <c r="E17" s="108">
        <f>E9-E15</f>
        <v>171589.59999999963</v>
      </c>
      <c r="F17" s="108">
        <f>F9-F15</f>
        <v>-437000</v>
      </c>
      <c r="H17" s="108">
        <f>H9-H15</f>
        <v>111541.07</v>
      </c>
      <c r="I17" s="108">
        <f t="shared" ref="I17" si="2">I9-I15</f>
        <v>-325458.9299999997</v>
      </c>
      <c r="K17" s="108">
        <f>K9-K15</f>
        <v>-150300</v>
      </c>
      <c r="L17" s="108">
        <f t="shared" ref="L17" si="3">L9-L15</f>
        <v>-475758.9299999997</v>
      </c>
    </row>
    <row r="19" spans="1:12" ht="15.75">
      <c r="A19" s="111" t="s">
        <v>279</v>
      </c>
      <c r="B19" s="111" t="s">
        <v>5</v>
      </c>
      <c r="C19" s="111"/>
      <c r="D19" s="111"/>
      <c r="E19" s="111"/>
      <c r="F19" s="114"/>
      <c r="H19" s="221"/>
      <c r="I19" s="221"/>
      <c r="K19" s="221"/>
      <c r="L19" s="221"/>
    </row>
    <row r="20" spans="1:12">
      <c r="A20" s="105" t="s">
        <v>280</v>
      </c>
      <c r="B20" s="105">
        <v>8115</v>
      </c>
      <c r="C20" s="106">
        <v>779000</v>
      </c>
      <c r="D20" s="106">
        <v>84520</v>
      </c>
      <c r="E20" s="106">
        <v>0</v>
      </c>
      <c r="F20" s="106">
        <v>437000</v>
      </c>
      <c r="H20" s="106">
        <v>0</v>
      </c>
      <c r="I20" s="106">
        <f>F20+H21</f>
        <v>325459</v>
      </c>
      <c r="K20" s="106">
        <v>150300</v>
      </c>
      <c r="L20" s="106">
        <f>I20+K20</f>
        <v>475759</v>
      </c>
    </row>
    <row r="21" spans="1:12">
      <c r="A21" s="105" t="s">
        <v>362</v>
      </c>
      <c r="B21" s="105">
        <v>8115</v>
      </c>
      <c r="C21" s="106">
        <v>0</v>
      </c>
      <c r="D21" s="106">
        <v>0</v>
      </c>
      <c r="E21" s="106">
        <f>-E17</f>
        <v>-171589.59999999963</v>
      </c>
      <c r="F21" s="106">
        <v>0</v>
      </c>
      <c r="H21" s="106">
        <v>-111541</v>
      </c>
      <c r="I21" s="106">
        <v>0</v>
      </c>
      <c r="K21" s="106">
        <v>0</v>
      </c>
      <c r="L21" s="106">
        <v>0</v>
      </c>
    </row>
    <row r="22" spans="1:12">
      <c r="A22" s="105" t="s">
        <v>358</v>
      </c>
      <c r="B22" s="105">
        <v>8123</v>
      </c>
      <c r="C22" s="106">
        <v>0</v>
      </c>
      <c r="D22" s="106">
        <v>0</v>
      </c>
      <c r="E22" s="106">
        <v>0</v>
      </c>
      <c r="F22" s="106">
        <v>0</v>
      </c>
      <c r="H22" s="106">
        <v>0</v>
      </c>
      <c r="I22" s="106">
        <v>0</v>
      </c>
      <c r="K22" s="106">
        <v>0</v>
      </c>
      <c r="L22" s="106">
        <v>0</v>
      </c>
    </row>
    <row r="23" spans="1:12" s="117" customFormat="1" ht="17.25" customHeight="1" thickBot="1">
      <c r="A23" s="115" t="s">
        <v>359</v>
      </c>
      <c r="B23" s="115"/>
      <c r="C23" s="116">
        <f>SUM(C20:C22)</f>
        <v>779000</v>
      </c>
      <c r="D23" s="116">
        <f>SUM(D20:D22)</f>
        <v>84520</v>
      </c>
      <c r="E23" s="116">
        <f>SUM(E20:E22)</f>
        <v>-171589.59999999963</v>
      </c>
      <c r="F23" s="116">
        <f>SUM(F20:F22)</f>
        <v>437000</v>
      </c>
      <c r="H23" s="116">
        <f>SUM(H20:H22)</f>
        <v>-111541</v>
      </c>
      <c r="I23" s="116">
        <f>SUM(I20:I22)</f>
        <v>325459</v>
      </c>
      <c r="K23" s="116">
        <f>SUM(K20:K22)</f>
        <v>150300</v>
      </c>
      <c r="L23" s="116">
        <f>SUM(L20:L22)</f>
        <v>475759</v>
      </c>
    </row>
    <row r="24" spans="1:12">
      <c r="H24" s="106"/>
      <c r="I24" s="106"/>
      <c r="K24" s="106"/>
      <c r="L24" s="106"/>
    </row>
    <row r="25" spans="1:12" ht="15.75" thickBot="1">
      <c r="A25" s="109" t="s">
        <v>360</v>
      </c>
      <c r="B25" s="109"/>
      <c r="C25" s="110">
        <f>C9-C15+C23</f>
        <v>8.0000000074505806E-2</v>
      </c>
      <c r="D25" s="110">
        <f>D9-D15+D23</f>
        <v>0</v>
      </c>
      <c r="E25" s="110">
        <f>E9-E15+E23</f>
        <v>0</v>
      </c>
      <c r="F25" s="110">
        <f>F9-F15+F23</f>
        <v>0</v>
      </c>
      <c r="H25" s="110">
        <f>H9-H15+H23</f>
        <v>7.0000000006984919E-2</v>
      </c>
      <c r="I25" s="110">
        <f>I9-I15+I23</f>
        <v>7.0000000298023224E-2</v>
      </c>
      <c r="K25" s="110">
        <f>K9-K15+K23</f>
        <v>0</v>
      </c>
      <c r="L25" s="110">
        <f>L9-L15+L23</f>
        <v>7.0000000298023224E-2</v>
      </c>
    </row>
    <row r="27" spans="1:12">
      <c r="A27" s="105" t="s">
        <v>474</v>
      </c>
    </row>
    <row r="28" spans="1:12">
      <c r="A28" s="105" t="s">
        <v>470</v>
      </c>
      <c r="J28" s="219" t="s">
        <v>461</v>
      </c>
    </row>
    <row r="29" spans="1:12">
      <c r="A29" s="105" t="s">
        <v>477</v>
      </c>
      <c r="B29" s="132"/>
      <c r="J29" s="219" t="s">
        <v>462</v>
      </c>
    </row>
    <row r="31" spans="1:12">
      <c r="A31" s="104" t="s">
        <v>479</v>
      </c>
    </row>
    <row r="32" spans="1:12">
      <c r="A32" s="104"/>
    </row>
    <row r="33" spans="1:1">
      <c r="A33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92D2-3EFF-414E-B9FA-933DC8DB48FA}">
  <sheetPr>
    <tabColor rgb="FFFFFF00"/>
    <pageSetUpPr fitToPage="1"/>
  </sheetPr>
  <dimension ref="A1:I32"/>
  <sheetViews>
    <sheetView workbookViewId="0">
      <selection activeCell="A29" sqref="A29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28515625" style="105" customWidth="1"/>
    <col min="4" max="5" width="18.28515625" style="105" customWidth="1"/>
    <col min="6" max="6" width="18.28515625" style="106" customWidth="1"/>
    <col min="7" max="7" width="2.7109375" style="413" customWidth="1"/>
    <col min="8" max="8" width="14.7109375" style="407" customWidth="1"/>
    <col min="9" max="9" width="13.7109375" style="105" customWidth="1"/>
    <col min="10" max="10" width="11.42578125" style="105" bestFit="1" customWidth="1"/>
    <col min="11" max="16384" width="9.140625" style="105"/>
  </cols>
  <sheetData>
    <row r="1" spans="1:9">
      <c r="F1" s="105"/>
      <c r="G1" s="104"/>
      <c r="H1" s="104"/>
    </row>
    <row r="2" spans="1:9" ht="23.25">
      <c r="A2" s="460" t="s">
        <v>656</v>
      </c>
      <c r="B2" s="460"/>
      <c r="C2" s="460"/>
      <c r="D2" s="460"/>
      <c r="E2" s="460"/>
      <c r="F2" s="460"/>
      <c r="G2" s="406"/>
    </row>
    <row r="3" spans="1:9" ht="15.75">
      <c r="H3" s="117" t="s">
        <v>469</v>
      </c>
      <c r="I3" s="117"/>
    </row>
    <row r="4" spans="1:9" ht="4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18"/>
      <c r="H4" s="222" t="s">
        <v>472</v>
      </c>
      <c r="I4" s="222" t="s">
        <v>473</v>
      </c>
    </row>
    <row r="5" spans="1:9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9"/>
      <c r="H5" s="106">
        <f>Rozpis_Příjmy!DW22</f>
        <v>63080</v>
      </c>
      <c r="I5" s="106">
        <f>Rozpis_Příjmy!DX22</f>
        <v>6826080</v>
      </c>
    </row>
    <row r="6" spans="1:9">
      <c r="A6" s="105" t="s">
        <v>267</v>
      </c>
      <c r="B6" s="105" t="s">
        <v>268</v>
      </c>
      <c r="C6" s="106">
        <f>Rozpis_Příjmy!CR122</f>
        <v>514800</v>
      </c>
      <c r="D6" s="106">
        <f>Rozpis_Příjmy!DQ122</f>
        <v>821750</v>
      </c>
      <c r="E6" s="106">
        <f>Rozpis_Příjmy!DS122</f>
        <v>801065.93</v>
      </c>
      <c r="F6" s="106">
        <f>Rozpis_Příjmy!DU122</f>
        <v>430400</v>
      </c>
      <c r="G6" s="419"/>
      <c r="H6" s="106">
        <f>Rozpis_Příjmy!DW122</f>
        <v>0</v>
      </c>
      <c r="I6" s="106">
        <f>Rozpis_Příjmy!DX122</f>
        <v>430400</v>
      </c>
    </row>
    <row r="7" spans="1:9">
      <c r="A7" s="105" t="s">
        <v>269</v>
      </c>
      <c r="B7" s="105" t="s">
        <v>270</v>
      </c>
      <c r="C7" s="106">
        <f>Rozpis_Příjmy!CR99</f>
        <v>30000</v>
      </c>
      <c r="D7" s="106">
        <f>Rozpis_Příjmy!DQ99</f>
        <v>191500</v>
      </c>
      <c r="E7" s="106">
        <f>Rozpis_Příjmy!DS99</f>
        <v>205926</v>
      </c>
      <c r="F7" s="106">
        <f>Rozpis_Příjmy!DU99</f>
        <v>40000</v>
      </c>
      <c r="G7" s="419"/>
      <c r="H7" s="106">
        <f>Rozpis_Příjmy!DW99</f>
        <v>0</v>
      </c>
      <c r="I7" s="106">
        <f>Rozpis_Příjmy!DX99</f>
        <v>40000</v>
      </c>
    </row>
    <row r="8" spans="1:9">
      <c r="A8" s="105" t="s">
        <v>271</v>
      </c>
      <c r="B8" s="105" t="s">
        <v>272</v>
      </c>
      <c r="C8" s="106">
        <f>Rozpis_Příjmy!CR35</f>
        <v>365188.89</v>
      </c>
      <c r="D8" s="106">
        <v>1624040</v>
      </c>
      <c r="E8" s="106">
        <f>Rozpis_Příjmy!DS35</f>
        <v>1624040</v>
      </c>
      <c r="F8" s="106">
        <f>Rozpis_Příjmy!DU35</f>
        <v>179700</v>
      </c>
      <c r="G8" s="419"/>
      <c r="H8" s="106">
        <f>Rozpis_Příjmy!DW35</f>
        <v>0</v>
      </c>
      <c r="I8" s="106">
        <f>Rozpis_Příjmy!DX35</f>
        <v>179700</v>
      </c>
    </row>
    <row r="9" spans="1:9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9"/>
      <c r="H9" s="116">
        <f>SUM(H5:H8)</f>
        <v>63080</v>
      </c>
      <c r="I9" s="116">
        <f>SUM(I5:I8)</f>
        <v>7476180</v>
      </c>
    </row>
    <row r="10" spans="1:9">
      <c r="H10" s="106"/>
      <c r="I10" s="106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6"/>
      <c r="H11" s="114"/>
      <c r="I11" s="114"/>
    </row>
    <row r="12" spans="1:9">
      <c r="A12" s="105" t="s">
        <v>274</v>
      </c>
      <c r="B12" s="105" t="s">
        <v>275</v>
      </c>
      <c r="C12" s="106">
        <f>Rozpis_Výdaje!DC350</f>
        <v>6251689.0999999996</v>
      </c>
      <c r="D12" s="106">
        <v>7077159</v>
      </c>
      <c r="E12" s="106">
        <f>Rozpis_Výdaje!EI350</f>
        <v>6909647.4500000002</v>
      </c>
      <c r="F12" s="106">
        <f>Rozpis_Výdaje!EK350</f>
        <v>5939880.0999999996</v>
      </c>
      <c r="G12" s="419"/>
      <c r="H12" s="106">
        <f>Rozpis_Výdaje!EM350</f>
        <v>70380</v>
      </c>
      <c r="I12" s="106">
        <f>Rozpis_Výdaje!EN350</f>
        <v>6010260.0999999996</v>
      </c>
    </row>
    <row r="13" spans="1:9">
      <c r="A13" s="105" t="s">
        <v>276</v>
      </c>
      <c r="B13" s="105" t="s">
        <v>277</v>
      </c>
      <c r="C13" s="106">
        <f>Rozpis_Výdaje!DC353</f>
        <v>539700</v>
      </c>
      <c r="D13" s="106">
        <v>1791241</v>
      </c>
      <c r="E13" s="106">
        <f>Rozpis_Výdaje!EI353</f>
        <v>1491803.66</v>
      </c>
      <c r="F13" s="106">
        <f>Rozpis_Výdaje!EK353</f>
        <v>2258340</v>
      </c>
      <c r="G13" s="419"/>
      <c r="H13" s="106">
        <f>Rozpis_Výdaje!EM353</f>
        <v>-7300</v>
      </c>
      <c r="I13" s="106">
        <f>Rozpis_Výdaje!EN353</f>
        <v>2251040</v>
      </c>
    </row>
    <row r="14" spans="1:9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9"/>
      <c r="H14" s="116">
        <f>H12+H13</f>
        <v>63080</v>
      </c>
      <c r="I14" s="116">
        <f>I12+I13</f>
        <v>8261300.0999999996</v>
      </c>
    </row>
    <row r="15" spans="1:9">
      <c r="H15" s="106"/>
      <c r="I15" s="106"/>
    </row>
    <row r="16" spans="1:9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  <c r="H16" s="108">
        <f>H9-H14</f>
        <v>0</v>
      </c>
      <c r="I16" s="108">
        <f>I9-I14</f>
        <v>-785120.09999999963</v>
      </c>
    </row>
    <row r="17" spans="1:9">
      <c r="G17" s="416"/>
      <c r="H17" s="106"/>
      <c r="I17" s="106"/>
    </row>
    <row r="18" spans="1:9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  <c r="H18" s="114"/>
      <c r="I18" s="114"/>
    </row>
    <row r="19" spans="1:9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  <c r="H19" s="106"/>
      <c r="I19" s="106">
        <v>1026120</v>
      </c>
    </row>
    <row r="20" spans="1:9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  <c r="H20" s="106"/>
      <c r="I20" s="106"/>
    </row>
    <row r="21" spans="1:9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  <c r="H21" s="106"/>
      <c r="I21" s="106">
        <v>1000000</v>
      </c>
    </row>
    <row r="22" spans="1:9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  <c r="I22" s="106">
        <v>-1000000</v>
      </c>
    </row>
    <row r="23" spans="1:9">
      <c r="A23" s="105" t="s">
        <v>358</v>
      </c>
      <c r="B23" s="105">
        <v>8123</v>
      </c>
      <c r="C23" s="106"/>
      <c r="D23" s="106"/>
      <c r="E23" s="106"/>
      <c r="G23" s="416"/>
    </row>
    <row r="24" spans="1:9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  <c r="H24" s="106">
        <v>0</v>
      </c>
      <c r="I24" s="106">
        <v>-241000</v>
      </c>
    </row>
    <row r="25" spans="1:9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I25" si="0">SUM(D19:D24)</f>
        <v>76358</v>
      </c>
      <c r="E25" s="116">
        <f t="shared" si="0"/>
        <v>-509478</v>
      </c>
      <c r="F25" s="116">
        <f t="shared" si="0"/>
        <v>785120</v>
      </c>
      <c r="G25" s="416"/>
      <c r="H25" s="116">
        <f t="shared" si="0"/>
        <v>0</v>
      </c>
      <c r="I25" s="116">
        <f t="shared" si="0"/>
        <v>785120</v>
      </c>
    </row>
    <row r="26" spans="1:9">
      <c r="H26" s="106"/>
      <c r="I26" s="106"/>
    </row>
    <row r="27" spans="1:9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  <c r="H27" s="110">
        <f>H9-H14+H25</f>
        <v>0</v>
      </c>
      <c r="I27" s="110">
        <f>I9-I14+I25</f>
        <v>-9.999999962747097E-2</v>
      </c>
    </row>
    <row r="28" spans="1:9">
      <c r="D28" s="105" t="s">
        <v>457</v>
      </c>
    </row>
    <row r="29" spans="1:9">
      <c r="A29" s="104" t="s">
        <v>660</v>
      </c>
      <c r="B29" s="132"/>
      <c r="E29" s="104" t="s">
        <v>661</v>
      </c>
      <c r="G29" s="219" t="s">
        <v>461</v>
      </c>
    </row>
    <row r="30" spans="1:9">
      <c r="A30" s="104" t="s">
        <v>662</v>
      </c>
      <c r="B30" s="132"/>
      <c r="E30" s="104" t="s">
        <v>663</v>
      </c>
      <c r="G30" s="219" t="s">
        <v>462</v>
      </c>
    </row>
    <row r="31" spans="1:9">
      <c r="A31" s="104"/>
    </row>
    <row r="32" spans="1:9">
      <c r="A32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D5E8-E738-4763-A2F8-01D95FF66526}">
  <sheetPr>
    <tabColor theme="9" tint="-0.249977111117893"/>
    <pageSetUpPr fitToPage="1"/>
  </sheetPr>
  <dimension ref="A1:I33"/>
  <sheetViews>
    <sheetView workbookViewId="0">
      <selection activeCell="G28" sqref="G28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3" width="19.5703125" style="105" customWidth="1"/>
    <col min="4" max="5" width="18.28515625" style="105" customWidth="1"/>
    <col min="6" max="6" width="18.28515625" style="106" customWidth="1"/>
    <col min="7" max="7" width="10.5703125" style="413" customWidth="1"/>
    <col min="8" max="8" width="10.5703125" style="407" customWidth="1"/>
    <col min="9" max="16384" width="9.140625" style="105"/>
  </cols>
  <sheetData>
    <row r="1" spans="1:9">
      <c r="F1" s="105"/>
      <c r="G1" s="104"/>
      <c r="H1" s="104"/>
    </row>
    <row r="2" spans="1:9" ht="23.25">
      <c r="A2" s="460" t="s">
        <v>656</v>
      </c>
      <c r="B2" s="460"/>
      <c r="C2" s="460"/>
      <c r="D2" s="460"/>
      <c r="E2" s="460"/>
      <c r="F2" s="460"/>
      <c r="G2" s="406"/>
    </row>
    <row r="4" spans="1:9" ht="31.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657</v>
      </c>
      <c r="G4" s="408" t="s">
        <v>644</v>
      </c>
      <c r="H4" s="409" t="s">
        <v>645</v>
      </c>
    </row>
    <row r="5" spans="1:9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410">
        <f>F5/D5-1</f>
        <v>9.8825752849180493E-2</v>
      </c>
      <c r="H5" s="410">
        <f>F5/E5-1</f>
        <v>7.6928525322263352E-2</v>
      </c>
    </row>
    <row r="6" spans="1:9">
      <c r="A6" s="105" t="s">
        <v>267</v>
      </c>
      <c r="B6" s="105" t="s">
        <v>268</v>
      </c>
      <c r="C6" s="106">
        <f>Rozpis_Příjmy!CR122</f>
        <v>514800</v>
      </c>
      <c r="D6" s="106">
        <f>Rozpis_Příjmy!DQ122</f>
        <v>821750</v>
      </c>
      <c r="E6" s="106">
        <f>Rozpis_Příjmy!DS122</f>
        <v>801065.93</v>
      </c>
      <c r="F6" s="106">
        <f>Rozpis_Příjmy!DU122</f>
        <v>430400</v>
      </c>
      <c r="G6" s="410">
        <f t="shared" ref="G6:G8" si="0">F6/D6-1</f>
        <v>-0.47623973227867356</v>
      </c>
      <c r="H6" s="410">
        <f t="shared" ref="H6:H14" si="1">F6/E6-1</f>
        <v>-0.46271588407211384</v>
      </c>
    </row>
    <row r="7" spans="1:9">
      <c r="A7" s="105" t="s">
        <v>269</v>
      </c>
      <c r="B7" s="105" t="s">
        <v>270</v>
      </c>
      <c r="C7" s="106">
        <f>Rozpis_Příjmy!CR99</f>
        <v>30000</v>
      </c>
      <c r="D7" s="106">
        <f>Rozpis_Příjmy!DQ99</f>
        <v>191500</v>
      </c>
      <c r="E7" s="106">
        <f>Rozpis_Příjmy!DS99</f>
        <v>205926</v>
      </c>
      <c r="F7" s="106">
        <f>Rozpis_Příjmy!DU99</f>
        <v>40000</v>
      </c>
      <c r="G7" s="410">
        <f t="shared" si="0"/>
        <v>-0.79112271540469981</v>
      </c>
      <c r="H7" s="410">
        <f t="shared" si="1"/>
        <v>-0.80575546555558797</v>
      </c>
    </row>
    <row r="8" spans="1:9">
      <c r="A8" s="105" t="s">
        <v>271</v>
      </c>
      <c r="B8" s="105" t="s">
        <v>272</v>
      </c>
      <c r="C8" s="106">
        <f>Rozpis_Příjmy!CR35</f>
        <v>365188.89</v>
      </c>
      <c r="D8" s="106">
        <v>1624040</v>
      </c>
      <c r="E8" s="106">
        <f>Rozpis_Příjmy!DS35</f>
        <v>1624040</v>
      </c>
      <c r="F8" s="106">
        <f>Rozpis_Příjmy!DU35</f>
        <v>179700</v>
      </c>
      <c r="G8" s="410">
        <f t="shared" si="0"/>
        <v>-0.88935001600945784</v>
      </c>
      <c r="H8" s="410">
        <f t="shared" si="1"/>
        <v>-0.88935001600945784</v>
      </c>
    </row>
    <row r="9" spans="1:9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411">
        <f>F9/D9-1</f>
        <v>-0.1568397876170291</v>
      </c>
      <c r="H9" s="412">
        <f t="shared" si="1"/>
        <v>-0.16808895855684847</v>
      </c>
    </row>
    <row r="10" spans="1:9">
      <c r="H10" s="410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414"/>
      <c r="H11" s="415"/>
    </row>
    <row r="12" spans="1:9">
      <c r="A12" s="105" t="s">
        <v>274</v>
      </c>
      <c r="B12" s="105" t="s">
        <v>275</v>
      </c>
      <c r="C12" s="106">
        <f>Rozpis_Výdaje!DC350</f>
        <v>6251689.0999999996</v>
      </c>
      <c r="D12" s="106">
        <v>7077159</v>
      </c>
      <c r="E12" s="106">
        <f>Rozpis_Výdaje!EI350</f>
        <v>6909647.4500000002</v>
      </c>
      <c r="F12" s="106">
        <f>Rozpis_Výdaje!EK350</f>
        <v>5939880.0999999996</v>
      </c>
      <c r="G12" s="410">
        <f t="shared" ref="G12:G13" si="2">F12/D12-1</f>
        <v>-0.16069709610876348</v>
      </c>
      <c r="H12" s="410">
        <f t="shared" si="1"/>
        <v>-0.14034975836574703</v>
      </c>
    </row>
    <row r="13" spans="1:9">
      <c r="A13" s="105" t="s">
        <v>276</v>
      </c>
      <c r="B13" s="105" t="s">
        <v>277</v>
      </c>
      <c r="C13" s="106">
        <f>Rozpis_Výdaje!DC353</f>
        <v>539700</v>
      </c>
      <c r="D13" s="106">
        <v>1791241</v>
      </c>
      <c r="E13" s="106">
        <f>Rozpis_Výdaje!EI353</f>
        <v>1491803.66</v>
      </c>
      <c r="F13" s="106">
        <f>Rozpis_Výdaje!EK353</f>
        <v>2258340</v>
      </c>
      <c r="G13" s="410">
        <f t="shared" si="2"/>
        <v>0.26076837231840932</v>
      </c>
      <c r="H13" s="410">
        <f t="shared" si="1"/>
        <v>0.51383192075021467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411">
        <f>F14/D14-1</f>
        <v>-7.5569426277569796E-2</v>
      </c>
      <c r="H14" s="412">
        <f t="shared" si="1"/>
        <v>-2.4189989007744161E-2</v>
      </c>
    </row>
    <row r="16" spans="1:9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416"/>
    </row>
    <row r="17" spans="1:8">
      <c r="G17" s="416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416"/>
    </row>
    <row r="19" spans="1:8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416"/>
    </row>
    <row r="20" spans="1:8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416"/>
    </row>
    <row r="21" spans="1:8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416"/>
    </row>
    <row r="22" spans="1:8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416"/>
    </row>
    <row r="23" spans="1:8">
      <c r="A23" s="105" t="s">
        <v>358</v>
      </c>
      <c r="B23" s="105">
        <v>8123</v>
      </c>
      <c r="C23" s="106"/>
      <c r="D23" s="106"/>
      <c r="E23" s="106"/>
      <c r="G23" s="416"/>
    </row>
    <row r="24" spans="1:8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416"/>
    </row>
    <row r="25" spans="1:8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F25" si="3">SUM(D19:D24)</f>
        <v>76358</v>
      </c>
      <c r="E25" s="116">
        <f t="shared" si="3"/>
        <v>-509478</v>
      </c>
      <c r="F25" s="116">
        <f t="shared" si="3"/>
        <v>785120</v>
      </c>
      <c r="G25" s="416"/>
      <c r="H25" s="417"/>
    </row>
    <row r="27" spans="1:8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</row>
    <row r="28" spans="1:8">
      <c r="C28" s="106"/>
      <c r="D28" s="106"/>
      <c r="E28" s="106"/>
    </row>
    <row r="29" spans="1:8">
      <c r="A29" s="104" t="s">
        <v>660</v>
      </c>
      <c r="D29" s="105" t="s">
        <v>457</v>
      </c>
    </row>
    <row r="30" spans="1:8">
      <c r="A30" s="104"/>
    </row>
    <row r="31" spans="1:8">
      <c r="A31" s="104" t="s">
        <v>655</v>
      </c>
      <c r="B31" s="132"/>
      <c r="E31" s="219" t="s">
        <v>461</v>
      </c>
    </row>
    <row r="32" spans="1:8">
      <c r="A32" s="104"/>
      <c r="E32" s="219" t="s">
        <v>462</v>
      </c>
    </row>
    <row r="33" spans="1:1">
      <c r="A33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FEAA-4D6B-40E3-8B9C-79BD2206599A}">
  <sheetPr>
    <tabColor theme="9" tint="-0.249977111117893"/>
    <pageSetUpPr fitToPage="1"/>
  </sheetPr>
  <dimension ref="A1:I31"/>
  <sheetViews>
    <sheetView workbookViewId="0">
      <selection activeCell="G20" sqref="G20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1" spans="1:9">
      <c r="F1" s="105"/>
      <c r="G1" s="105"/>
      <c r="H1" s="105"/>
    </row>
    <row r="2" spans="1:9" ht="23.25">
      <c r="A2" s="460" t="s">
        <v>639</v>
      </c>
      <c r="B2" s="460"/>
      <c r="C2" s="460"/>
      <c r="D2" s="460"/>
      <c r="E2" s="460"/>
      <c r="F2" s="460"/>
      <c r="G2" s="199"/>
    </row>
    <row r="4" spans="1:9" ht="31.5">
      <c r="A4" s="111" t="s">
        <v>263</v>
      </c>
      <c r="B4" s="111" t="s">
        <v>5</v>
      </c>
      <c r="C4" s="112" t="s">
        <v>640</v>
      </c>
      <c r="D4" s="112" t="s">
        <v>641</v>
      </c>
      <c r="E4" s="112" t="s">
        <v>642</v>
      </c>
      <c r="F4" s="113" t="s">
        <v>643</v>
      </c>
      <c r="G4" s="211" t="s">
        <v>644</v>
      </c>
      <c r="H4" s="212" t="s">
        <v>645</v>
      </c>
    </row>
    <row r="5" spans="1:9">
      <c r="A5" s="105" t="s">
        <v>265</v>
      </c>
      <c r="B5" s="105" t="s">
        <v>266</v>
      </c>
      <c r="C5" s="106">
        <f>Rozpis_Příjmy!CR22</f>
        <v>6126400</v>
      </c>
      <c r="D5" s="106">
        <f>Rozpis_Příjmy!DQ22</f>
        <v>6154752</v>
      </c>
      <c r="E5" s="106">
        <f>Rozpis_Příjmy!DS22</f>
        <v>6279896.7999999998</v>
      </c>
      <c r="F5" s="106">
        <f>Rozpis_Příjmy!DU22</f>
        <v>6763000</v>
      </c>
      <c r="G5" s="201">
        <f>F5/D5-1</f>
        <v>9.8825752849180493E-2</v>
      </c>
      <c r="H5" s="201">
        <f>F5/E5-1</f>
        <v>7.6928525322263352E-2</v>
      </c>
    </row>
    <row r="6" spans="1:9">
      <c r="A6" s="105" t="s">
        <v>267</v>
      </c>
      <c r="B6" s="105" t="s">
        <v>268</v>
      </c>
      <c r="C6" s="106">
        <f>Rozpis_Příjmy!CR122</f>
        <v>514800</v>
      </c>
      <c r="D6" s="106">
        <f>Rozpis_Příjmy!DQ122</f>
        <v>821750</v>
      </c>
      <c r="E6" s="106">
        <f>Rozpis_Příjmy!DS122</f>
        <v>801065.93</v>
      </c>
      <c r="F6" s="106">
        <f>Rozpis_Příjmy!DU122</f>
        <v>430400</v>
      </c>
      <c r="G6" s="201">
        <f t="shared" ref="G6:G8" si="0">F6/D6-1</f>
        <v>-0.47623973227867356</v>
      </c>
      <c r="H6" s="201">
        <f t="shared" ref="H6:H14" si="1">F6/E6-1</f>
        <v>-0.46271588407211384</v>
      </c>
    </row>
    <row r="7" spans="1:9">
      <c r="A7" s="105" t="s">
        <v>269</v>
      </c>
      <c r="B7" s="105" t="s">
        <v>270</v>
      </c>
      <c r="C7" s="106">
        <f>Rozpis_Příjmy!CR99</f>
        <v>30000</v>
      </c>
      <c r="D7" s="106">
        <f>Rozpis_Příjmy!DQ99</f>
        <v>191500</v>
      </c>
      <c r="E7" s="106">
        <f>Rozpis_Příjmy!DS99</f>
        <v>205926</v>
      </c>
      <c r="F7" s="106">
        <f>Rozpis_Příjmy!DU99</f>
        <v>40000</v>
      </c>
      <c r="G7" s="201">
        <f t="shared" si="0"/>
        <v>-0.79112271540469981</v>
      </c>
      <c r="H7" s="201">
        <f t="shared" si="1"/>
        <v>-0.80575546555558797</v>
      </c>
    </row>
    <row r="8" spans="1:9">
      <c r="A8" s="105" t="s">
        <v>271</v>
      </c>
      <c r="B8" s="105" t="s">
        <v>272</v>
      </c>
      <c r="C8" s="106">
        <f>Rozpis_Příjmy!CR35</f>
        <v>365188.89</v>
      </c>
      <c r="D8" s="106">
        <v>1624040</v>
      </c>
      <c r="E8" s="106">
        <f>Rozpis_Příjmy!DS35</f>
        <v>1624040</v>
      </c>
      <c r="F8" s="106">
        <f>Rozpis_Příjmy!DU35</f>
        <v>179700</v>
      </c>
      <c r="G8" s="201">
        <f t="shared" si="0"/>
        <v>-0.88935001600945784</v>
      </c>
      <c r="H8" s="201">
        <f t="shared" si="1"/>
        <v>-0.88935001600945784</v>
      </c>
    </row>
    <row r="9" spans="1:9" s="117" customFormat="1" ht="16.5" thickBot="1">
      <c r="A9" s="115" t="s">
        <v>261</v>
      </c>
      <c r="B9" s="115"/>
      <c r="C9" s="116">
        <f>SUM(C5:C8)</f>
        <v>7036388.8899999997</v>
      </c>
      <c r="D9" s="116">
        <f>SUM(D5:D8)</f>
        <v>8792042</v>
      </c>
      <c r="E9" s="116">
        <f>SUM(E5:E8)</f>
        <v>8910928.7300000004</v>
      </c>
      <c r="F9" s="116">
        <f>SUM(F5:F8)</f>
        <v>7413100</v>
      </c>
      <c r="G9" s="202">
        <f>F9/D9-1</f>
        <v>-0.1568397876170291</v>
      </c>
      <c r="H9" s="203">
        <f t="shared" si="1"/>
        <v>-0.16808895855684847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Rozpis_Výdaje!DC350</f>
        <v>6251689.0999999996</v>
      </c>
      <c r="D12" s="106">
        <v>7077159</v>
      </c>
      <c r="E12" s="106">
        <f>Rozpis_Výdaje!EI350</f>
        <v>6909647.4500000002</v>
      </c>
      <c r="F12" s="106">
        <f>Rozpis_Výdaje!EK350</f>
        <v>5939880.0999999996</v>
      </c>
      <c r="G12" s="201">
        <f t="shared" ref="G12:G13" si="2">F12/D12-1</f>
        <v>-0.16069709610876348</v>
      </c>
      <c r="H12" s="201">
        <f t="shared" si="1"/>
        <v>-0.14034975836574703</v>
      </c>
    </row>
    <row r="13" spans="1:9">
      <c r="A13" s="105" t="s">
        <v>276</v>
      </c>
      <c r="B13" s="105" t="s">
        <v>277</v>
      </c>
      <c r="C13" s="106">
        <f>Rozpis_Výdaje!DC353</f>
        <v>539700</v>
      </c>
      <c r="D13" s="106">
        <v>1791241</v>
      </c>
      <c r="E13" s="106">
        <f>Rozpis_Výdaje!EI353</f>
        <v>1491803.66</v>
      </c>
      <c r="F13" s="106">
        <f>Rozpis_Výdaje!EK353</f>
        <v>2258340</v>
      </c>
      <c r="G13" s="201">
        <f t="shared" si="2"/>
        <v>0.26076837231840932</v>
      </c>
      <c r="H13" s="201">
        <f t="shared" si="1"/>
        <v>0.51383192075021467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6791389.0999999996</v>
      </c>
      <c r="D14" s="116">
        <f>D12+D13</f>
        <v>8868400</v>
      </c>
      <c r="E14" s="116">
        <f>E12+E13</f>
        <v>8401451.1099999994</v>
      </c>
      <c r="F14" s="116">
        <f>F12+F13</f>
        <v>8198220.0999999996</v>
      </c>
      <c r="G14" s="202">
        <f>F14/D14-1</f>
        <v>-7.5569426277569796E-2</v>
      </c>
      <c r="H14" s="203">
        <f t="shared" si="1"/>
        <v>-2.4189989007744161E-2</v>
      </c>
    </row>
    <row r="16" spans="1:9" ht="15.75" thickBot="1">
      <c r="A16" s="107" t="s">
        <v>278</v>
      </c>
      <c r="B16" s="107"/>
      <c r="C16" s="108">
        <f>C9-C14</f>
        <v>244999.79000000004</v>
      </c>
      <c r="D16" s="108">
        <f>D9-D14</f>
        <v>-76358</v>
      </c>
      <c r="E16" s="108">
        <f>E9-E14</f>
        <v>509477.62000000104</v>
      </c>
      <c r="F16" s="108">
        <f>F9-F14</f>
        <v>-785120.09999999963</v>
      </c>
      <c r="G16" s="205"/>
    </row>
    <row r="17" spans="1:8">
      <c r="G17" s="205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205"/>
    </row>
    <row r="19" spans="1:8">
      <c r="A19" s="105" t="s">
        <v>280</v>
      </c>
      <c r="B19" s="105">
        <v>8115</v>
      </c>
      <c r="C19" s="106"/>
      <c r="D19" s="106">
        <v>321358</v>
      </c>
      <c r="E19" s="106"/>
      <c r="F19" s="106">
        <v>1026120</v>
      </c>
      <c r="G19" s="205"/>
    </row>
    <row r="20" spans="1:8">
      <c r="A20" s="105" t="s">
        <v>362</v>
      </c>
      <c r="B20" s="105">
        <v>8115</v>
      </c>
      <c r="C20" s="106"/>
      <c r="D20" s="106">
        <v>0</v>
      </c>
      <c r="E20" s="106">
        <v>-268734</v>
      </c>
      <c r="G20" s="205"/>
    </row>
    <row r="21" spans="1:8">
      <c r="A21" s="105" t="s">
        <v>646</v>
      </c>
      <c r="B21" s="105">
        <v>8117</v>
      </c>
      <c r="C21" s="106"/>
      <c r="D21" s="106">
        <v>900000</v>
      </c>
      <c r="E21" s="106">
        <v>900000</v>
      </c>
      <c r="F21" s="106">
        <v>1000000</v>
      </c>
      <c r="G21" s="205"/>
    </row>
    <row r="22" spans="1:8">
      <c r="A22" s="105" t="s">
        <v>647</v>
      </c>
      <c r="B22" s="105">
        <v>8118</v>
      </c>
      <c r="C22" s="106"/>
      <c r="D22" s="106">
        <v>-900000</v>
      </c>
      <c r="E22" s="106">
        <v>-900000</v>
      </c>
      <c r="F22" s="106">
        <v>-1000000</v>
      </c>
      <c r="G22" s="205"/>
    </row>
    <row r="23" spans="1:8">
      <c r="A23" s="105" t="s">
        <v>358</v>
      </c>
      <c r="B23" s="105">
        <v>8123</v>
      </c>
      <c r="C23" s="106"/>
      <c r="D23" s="106"/>
      <c r="E23" s="106"/>
      <c r="G23" s="205"/>
    </row>
    <row r="24" spans="1:8">
      <c r="A24" s="105" t="s">
        <v>577</v>
      </c>
      <c r="B24" s="105">
        <v>8124</v>
      </c>
      <c r="C24" s="106">
        <v>-245000</v>
      </c>
      <c r="D24" s="106">
        <v>-245000</v>
      </c>
      <c r="E24" s="106">
        <v>-240744</v>
      </c>
      <c r="F24" s="106">
        <v>-241000</v>
      </c>
      <c r="G24" s="205"/>
    </row>
    <row r="25" spans="1:8" s="117" customFormat="1" ht="17.25" customHeight="1" thickBot="1">
      <c r="A25" s="115" t="s">
        <v>359</v>
      </c>
      <c r="B25" s="115"/>
      <c r="C25" s="116">
        <f>SUM(C19:C24)</f>
        <v>-245000</v>
      </c>
      <c r="D25" s="116">
        <f t="shared" ref="D25:F25" si="3">SUM(D19:D24)</f>
        <v>76358</v>
      </c>
      <c r="E25" s="116">
        <f t="shared" si="3"/>
        <v>-509478</v>
      </c>
      <c r="F25" s="116">
        <f t="shared" si="3"/>
        <v>785120</v>
      </c>
      <c r="G25" s="205"/>
      <c r="H25" s="208"/>
    </row>
    <row r="27" spans="1:8" ht="15.75" thickBot="1">
      <c r="A27" s="109" t="s">
        <v>360</v>
      </c>
      <c r="B27" s="109"/>
      <c r="C27" s="110">
        <f>C9-C14+C25</f>
        <v>-0.2099999999627471</v>
      </c>
      <c r="D27" s="110">
        <f>D9-D14+D25</f>
        <v>0</v>
      </c>
      <c r="E27" s="110">
        <f>E9-E14+E25</f>
        <v>-0.37999999895691872</v>
      </c>
      <c r="F27" s="110">
        <f>F9-F14+F25</f>
        <v>-9.999999962747097E-2</v>
      </c>
    </row>
    <row r="28" spans="1:8">
      <c r="D28" s="105" t="s">
        <v>457</v>
      </c>
    </row>
    <row r="29" spans="1:8">
      <c r="A29" s="104" t="s">
        <v>655</v>
      </c>
      <c r="B29" s="132"/>
      <c r="E29" s="219" t="s">
        <v>461</v>
      </c>
    </row>
    <row r="30" spans="1:8">
      <c r="A30" s="104"/>
      <c r="E30" s="219" t="s">
        <v>462</v>
      </c>
    </row>
    <row r="31" spans="1:8">
      <c r="A31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29"/>
  <sheetViews>
    <sheetView topLeftCell="B1" workbookViewId="0">
      <selection activeCell="D18" sqref="D18"/>
    </sheetView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1" spans="1:9">
      <c r="C1" s="106"/>
      <c r="D1" s="106"/>
      <c r="E1" s="106"/>
    </row>
    <row r="2" spans="1:9" ht="23.25">
      <c r="A2" s="460" t="s">
        <v>565</v>
      </c>
      <c r="B2" s="460"/>
      <c r="C2" s="460"/>
      <c r="D2" s="460"/>
      <c r="E2" s="460"/>
      <c r="F2" s="460"/>
      <c r="G2" s="199"/>
    </row>
    <row r="4" spans="1:9" ht="31.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568</v>
      </c>
      <c r="G4" s="211" t="s">
        <v>569</v>
      </c>
      <c r="H4" s="212" t="s">
        <v>573</v>
      </c>
    </row>
    <row r="5" spans="1:9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G5" s="201">
        <f>F5/C5-1</f>
        <v>0.12956100079281674</v>
      </c>
      <c r="H5" s="201">
        <f>F5/E5-1</f>
        <v>7.0411814615191748E-2</v>
      </c>
    </row>
    <row r="6" spans="1:9">
      <c r="A6" s="105" t="s">
        <v>267</v>
      </c>
      <c r="B6" s="105" t="s">
        <v>268</v>
      </c>
      <c r="C6" s="106">
        <f>Rozpis_Příjmy!BO122</f>
        <v>514500</v>
      </c>
      <c r="D6" s="106">
        <f>Rozpis_Příjmy!CN122</f>
        <v>593640</v>
      </c>
      <c r="E6" s="106">
        <f>Rozpis_Příjmy!CP122</f>
        <v>435708.33</v>
      </c>
      <c r="F6" s="106">
        <f>Rozpis_Příjmy!CR122</f>
        <v>514800</v>
      </c>
      <c r="G6" s="201">
        <f t="shared" ref="G6:G9" si="0">F6/C6-1</f>
        <v>5.8309037900872163E-4</v>
      </c>
      <c r="H6" s="201">
        <f t="shared" ref="H6:H14" si="1">F6/E6-1</f>
        <v>0.18152434680328455</v>
      </c>
    </row>
    <row r="7" spans="1:9">
      <c r="A7" s="105" t="s">
        <v>269</v>
      </c>
      <c r="B7" s="105" t="s">
        <v>270</v>
      </c>
      <c r="C7" s="106">
        <f>Rozpis_Příjmy!BO99</f>
        <v>40000</v>
      </c>
      <c r="D7" s="106">
        <f>Rozpis_Příjmy!CN99</f>
        <v>70000</v>
      </c>
      <c r="E7" s="106">
        <f>Rozpis_Příjmy!CP99</f>
        <v>59144</v>
      </c>
      <c r="F7" s="106">
        <f>Rozpis_Příjmy!CR99</f>
        <v>30000</v>
      </c>
      <c r="G7" s="201">
        <f t="shared" si="0"/>
        <v>-0.25</v>
      </c>
      <c r="H7" s="201">
        <f t="shared" si="1"/>
        <v>-0.49276342486135538</v>
      </c>
    </row>
    <row r="8" spans="1:9">
      <c r="A8" s="105" t="s">
        <v>271</v>
      </c>
      <c r="B8" s="105" t="s">
        <v>272</v>
      </c>
      <c r="C8" s="106">
        <f>Rozpis_Příjmy!BO35</f>
        <v>1228300</v>
      </c>
      <c r="D8" s="106">
        <f>Rozpis_Příjmy!CN35</f>
        <v>1377347.88</v>
      </c>
      <c r="E8" s="106">
        <f>Rozpis_Příjmy!CP35</f>
        <v>1377347.92</v>
      </c>
      <c r="F8" s="106">
        <f>Rozpis_Příjmy!CR35</f>
        <v>365188.89</v>
      </c>
      <c r="G8" s="201">
        <f t="shared" si="0"/>
        <v>-0.7026875437596678</v>
      </c>
      <c r="H8" s="201">
        <f t="shared" si="1"/>
        <v>-0.73486082586889157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G9" s="202">
        <f t="shared" si="0"/>
        <v>-2.3605232775966156E-2</v>
      </c>
      <c r="H9" s="203">
        <f t="shared" si="1"/>
        <v>-7.362363556522733E-2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Rozpis_Výdaje!BM350</f>
        <v>7195600</v>
      </c>
      <c r="D12" s="106">
        <f>Rozpis_Výdaje!CY350</f>
        <v>7479854.8899999997</v>
      </c>
      <c r="E12" s="106">
        <f>Rozpis_Výdaje!DA350</f>
        <v>7594747.4400000004</v>
      </c>
      <c r="F12" s="106">
        <f>Rozpis_Výdaje!DC350</f>
        <v>6251689.0999999996</v>
      </c>
      <c r="G12" s="201">
        <f t="shared" ref="G12:G14" si="2">F12/C12-1</f>
        <v>-0.13117890099505258</v>
      </c>
      <c r="H12" s="201">
        <f t="shared" si="1"/>
        <v>-0.17684042170071168</v>
      </c>
    </row>
    <row r="13" spans="1:9">
      <c r="A13" s="105" t="s">
        <v>276</v>
      </c>
      <c r="B13" s="105" t="s">
        <v>277</v>
      </c>
      <c r="C13" s="106">
        <f>Rozpis_Výdaje!BM353</f>
        <v>2057900</v>
      </c>
      <c r="D13" s="106">
        <f>Rozpis_Výdaje!CY353</f>
        <v>2482600</v>
      </c>
      <c r="E13" s="106">
        <f>Rozpis_Výdaje!DA353</f>
        <v>2481231</v>
      </c>
      <c r="F13" s="106">
        <f>Rozpis_Výdaje!DC353</f>
        <v>539700</v>
      </c>
      <c r="G13" s="201">
        <f t="shared" si="2"/>
        <v>-0.73774235871519511</v>
      </c>
      <c r="H13" s="201">
        <f t="shared" si="1"/>
        <v>-0.78248699939667044</v>
      </c>
      <c r="I13" s="105" t="s">
        <v>457</v>
      </c>
    </row>
    <row r="14" spans="1:9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G14" s="202">
        <f t="shared" si="2"/>
        <v>-0.26607347490138866</v>
      </c>
      <c r="H14" s="203">
        <f t="shared" si="1"/>
        <v>-0.32598217230802262</v>
      </c>
    </row>
    <row r="16" spans="1:9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G16" s="205"/>
    </row>
    <row r="17" spans="1:8">
      <c r="G17" s="205"/>
    </row>
    <row r="18" spans="1:8" ht="15.75">
      <c r="A18" s="111" t="s">
        <v>279</v>
      </c>
      <c r="B18" s="111" t="s">
        <v>5</v>
      </c>
      <c r="C18" s="111"/>
      <c r="D18" s="111"/>
      <c r="E18" s="111"/>
      <c r="F18" s="114" t="s">
        <v>264</v>
      </c>
      <c r="G18" s="205"/>
    </row>
    <row r="19" spans="1:8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G19" s="205"/>
    </row>
    <row r="20" spans="1:8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G20" s="205"/>
    </row>
    <row r="21" spans="1:8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G21" s="205"/>
    </row>
    <row r="22" spans="1:8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G22" s="205"/>
    </row>
    <row r="23" spans="1:8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3">SUM(D19:D22)</f>
        <v>2161967</v>
      </c>
      <c r="E23" s="116">
        <f t="shared" si="3"/>
        <v>2480374</v>
      </c>
      <c r="F23" s="116">
        <f>F19+F21+F22+F20</f>
        <v>-245000</v>
      </c>
      <c r="G23" s="205"/>
      <c r="H23" s="208"/>
    </row>
    <row r="25" spans="1:8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</row>
    <row r="26" spans="1:8">
      <c r="D26" s="105" t="s">
        <v>457</v>
      </c>
    </row>
    <row r="27" spans="1:8">
      <c r="A27" s="104" t="s">
        <v>592</v>
      </c>
      <c r="B27" s="132"/>
      <c r="E27" s="219" t="s">
        <v>461</v>
      </c>
    </row>
    <row r="28" spans="1:8">
      <c r="A28" s="104"/>
      <c r="E28" s="219" t="s">
        <v>462</v>
      </c>
    </row>
    <row r="29" spans="1:8">
      <c r="A29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2423-9221-44AE-B1C1-8E41B4B90513}">
  <dimension ref="A1:C8"/>
  <sheetViews>
    <sheetView workbookViewId="0">
      <selection activeCell="H27" sqref="H27"/>
    </sheetView>
  </sheetViews>
  <sheetFormatPr defaultRowHeight="15"/>
  <cols>
    <col min="1" max="1" width="16.85546875" customWidth="1"/>
  </cols>
  <sheetData>
    <row r="1" spans="1:3">
      <c r="B1">
        <v>2025</v>
      </c>
    </row>
    <row r="2" spans="1:3">
      <c r="A2" s="15" t="s">
        <v>583</v>
      </c>
      <c r="B2" s="15">
        <v>61123</v>
      </c>
      <c r="C2" s="15">
        <f>B2*12</f>
        <v>733476</v>
      </c>
    </row>
    <row r="3" spans="1:3">
      <c r="A3" s="15" t="s">
        <v>584</v>
      </c>
      <c r="B3" s="15">
        <v>13026</v>
      </c>
      <c r="C3" s="15">
        <f t="shared" ref="C3:C5" si="0">B3*12</f>
        <v>156312</v>
      </c>
    </row>
    <row r="4" spans="1:3">
      <c r="A4" s="15" t="s">
        <v>585</v>
      </c>
      <c r="B4" s="15">
        <v>650</v>
      </c>
      <c r="C4" s="15">
        <f t="shared" si="0"/>
        <v>7800</v>
      </c>
    </row>
    <row r="5" spans="1:3">
      <c r="A5" s="15" t="s">
        <v>586</v>
      </c>
      <c r="B5" s="15">
        <v>650</v>
      </c>
      <c r="C5" s="15">
        <f t="shared" si="0"/>
        <v>7800</v>
      </c>
    </row>
    <row r="6" spans="1:3">
      <c r="A6" s="15" t="s">
        <v>587</v>
      </c>
      <c r="B6" s="15">
        <v>500</v>
      </c>
      <c r="C6" s="15">
        <f>B6*5*12</f>
        <v>30000</v>
      </c>
    </row>
    <row r="7" spans="1:3" ht="15.75" thickBot="1">
      <c r="A7" s="15"/>
      <c r="B7" s="15"/>
      <c r="C7" s="333">
        <f>SUM(C2:C6)</f>
        <v>935388</v>
      </c>
    </row>
    <row r="8" spans="1:3" ht="15.75" thickTop="1"/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G126"/>
  <sheetViews>
    <sheetView zoomScaleNormal="100" workbookViewId="0">
      <pane xSplit="11" ySplit="4" topLeftCell="EZ20" activePane="bottomRight" state="frozen"/>
      <selection pane="topRight" activeCell="L1" sqref="L1"/>
      <selection pane="bottomLeft" activeCell="A5" sqref="A5"/>
      <selection pane="bottomRight" activeCell="FD32" sqref="FD32"/>
    </sheetView>
  </sheetViews>
  <sheetFormatPr defaultRowHeight="15" outlineLevelRow="1" outlineLevelCol="2"/>
  <cols>
    <col min="1" max="1" width="8.28515625" customWidth="1"/>
    <col min="2" max="2" width="7.85546875" customWidth="1"/>
    <col min="3" max="3" width="49.7109375" customWidth="1"/>
    <col min="4" max="4" width="11.42578125" hidden="1" customWidth="1" outlineLevel="1"/>
    <col min="5" max="5" width="8.28515625" style="31" hidden="1" customWidth="1" outlineLevel="1"/>
    <col min="6" max="6" width="11.5703125" hidden="1" customWidth="1" outlineLevel="1"/>
    <col min="7" max="7" width="8.28515625" style="31" hidden="1" customWidth="1" outlineLevel="1"/>
    <col min="8" max="9" width="12.42578125" hidden="1" customWidth="1" outlineLevel="1"/>
    <col min="10" max="10" width="2.85546875" hidden="1" customWidth="1" outlineLevel="1"/>
    <col min="11" max="11" width="11.85546875" style="15" hidden="1" customWidth="1" outlineLevel="1"/>
    <col min="12" max="12" width="12.140625" style="118" hidden="1" customWidth="1" outlineLevel="1" collapsed="1"/>
    <col min="13" max="15" width="9.140625" hidden="1" customWidth="1" outlineLevel="2"/>
    <col min="16" max="17" width="12.28515625" hidden="1" customWidth="1" outlineLevel="2"/>
    <col min="18" max="18" width="11.7109375" hidden="1" customWidth="1" outlineLevel="2"/>
    <col min="19" max="19" width="9.140625" hidden="1" customWidth="1" outlineLevel="2"/>
    <col min="20" max="20" width="9.140625" hidden="1" customWidth="1" outlineLevel="1"/>
    <col min="21" max="21" width="15.85546875" style="118" hidden="1" customWidth="1" outlineLevel="2"/>
    <col min="22" max="22" width="9.140625" hidden="1" customWidth="1" outlineLevel="2"/>
    <col min="23" max="23" width="4" hidden="1" customWidth="1" outlineLevel="2"/>
    <col min="24" max="24" width="11.140625" style="125" hidden="1" customWidth="1" outlineLevel="2"/>
    <col min="25" max="25" width="3.28515625" hidden="1" customWidth="1" outlineLevel="2"/>
    <col min="26" max="26" width="11.7109375" style="118" hidden="1" customWidth="1" outlineLevel="2"/>
    <col min="27" max="27" width="2.85546875" hidden="1" customWidth="1" outlineLevel="2"/>
    <col min="28" max="28" width="8.140625" hidden="1" customWidth="1" outlineLevel="2"/>
    <col min="29" max="29" width="4.7109375" hidden="1" customWidth="1" outlineLevel="2"/>
    <col min="30" max="30" width="11.7109375" style="118" hidden="1" customWidth="1" outlineLevel="2"/>
    <col min="31" max="31" width="2.5703125" hidden="1" customWidth="1" outlineLevel="2"/>
    <col min="32" max="32" width="8.140625" hidden="1" customWidth="1" outlineLevel="2"/>
    <col min="33" max="33" width="5.7109375" hidden="1" customWidth="1" outlineLevel="2"/>
    <col min="34" max="34" width="11.140625" style="118" hidden="1" customWidth="1" outlineLevel="1"/>
    <col min="35" max="35" width="2.5703125" hidden="1" customWidth="1" outlineLevel="1"/>
    <col min="36" max="36" width="7" hidden="1" customWidth="1" outlineLevel="1"/>
    <col min="37" max="37" width="2.42578125" hidden="1" customWidth="1" outlineLevel="1"/>
    <col min="38" max="38" width="13.42578125" style="15" hidden="1" customWidth="1" outlineLevel="1"/>
    <col min="39" max="39" width="1.5703125" hidden="1" customWidth="1" outlineLevel="1"/>
    <col min="40" max="40" width="13.42578125" style="15" hidden="1" customWidth="1" outlineLevel="1"/>
    <col min="41" max="43" width="9.140625" hidden="1" customWidth="1" outlineLevel="1"/>
    <col min="44" max="44" width="9.140625" hidden="1" customWidth="1" outlineLevel="2"/>
    <col min="45" max="45" width="9.5703125" hidden="1" customWidth="1" outlineLevel="2"/>
    <col min="46" max="50" width="9.140625" hidden="1" customWidth="1" outlineLevel="2"/>
    <col min="51" max="51" width="9.140625" hidden="1" customWidth="1" outlineLevel="1"/>
    <col min="52" max="53" width="9.140625" hidden="1" customWidth="1" outlineLevel="2"/>
    <col min="54" max="54" width="6" hidden="1" customWidth="1" outlineLevel="2"/>
    <col min="55" max="60" width="9.140625" hidden="1" customWidth="1" outlineLevel="2"/>
    <col min="61" max="61" width="9.85546875" style="15" hidden="1" customWidth="1" outlineLevel="1"/>
    <col min="62" max="62" width="15.7109375" hidden="1" customWidth="1" outlineLevel="1"/>
    <col min="63" max="63" width="2.5703125" hidden="1" customWidth="1" outlineLevel="1"/>
    <col min="64" max="64" width="11" style="15" hidden="1" customWidth="1" outlineLevel="1"/>
    <col min="65" max="65" width="8.28515625" style="234" hidden="1" customWidth="1" outlineLevel="1"/>
    <col min="66" max="66" width="2.5703125" hidden="1" customWidth="1" outlineLevel="1"/>
    <col min="67" max="67" width="9.85546875" style="15" hidden="1" customWidth="1" outlineLevel="1"/>
    <col min="68" max="68" width="8.85546875" style="31" hidden="1" customWidth="1" outlineLevel="1"/>
    <col min="69" max="69" width="3.42578125" hidden="1" customWidth="1" outlineLevel="1"/>
    <col min="70" max="70" width="9.140625" style="15" hidden="1" customWidth="1" outlineLevel="2"/>
    <col min="71" max="71" width="16.140625" hidden="1" customWidth="1" outlineLevel="2"/>
    <col min="72" max="72" width="5.140625" hidden="1" customWidth="1" outlineLevel="2"/>
    <col min="73" max="73" width="9.140625" style="15" hidden="1" customWidth="1" outlineLevel="2"/>
    <col min="74" max="74" width="14.42578125" hidden="1" customWidth="1" outlineLevel="2"/>
    <col min="75" max="75" width="4.5703125" hidden="1" customWidth="1" outlineLevel="2"/>
    <col min="76" max="76" width="9.140625" style="15" hidden="1" customWidth="1" outlineLevel="2"/>
    <col min="77" max="77" width="14.42578125" hidden="1" customWidth="1" outlineLevel="2"/>
    <col min="78" max="78" width="9.140625" hidden="1" customWidth="1" outlineLevel="2"/>
    <col min="79" max="79" width="9.140625" style="15" hidden="1" customWidth="1" outlineLevel="2"/>
    <col min="80" max="80" width="14.42578125" hidden="1" customWidth="1" outlineLevel="2"/>
    <col min="81" max="81" width="6.28515625" hidden="1" customWidth="1" outlineLevel="2"/>
    <col min="82" max="82" width="9.140625" style="15" hidden="1" customWidth="1" outlineLevel="2"/>
    <col min="83" max="83" width="14.42578125" hidden="1" customWidth="1" outlineLevel="2"/>
    <col min="84" max="84" width="4" hidden="1" customWidth="1" outlineLevel="1"/>
    <col min="85" max="85" width="9.140625" style="15" hidden="1" customWidth="1" outlineLevel="2"/>
    <col min="86" max="86" width="14.42578125" hidden="1" customWidth="1" outlineLevel="2"/>
    <col min="87" max="87" width="2.5703125" hidden="1" customWidth="1" outlineLevel="2"/>
    <col min="88" max="88" width="9.140625" style="15" hidden="1" customWidth="1" outlineLevel="2"/>
    <col min="89" max="89" width="14.42578125" hidden="1" customWidth="1" outlineLevel="2"/>
    <col min="90" max="90" width="4.42578125" hidden="1" customWidth="1" outlineLevel="2"/>
    <col min="91" max="91" width="11.85546875" style="15" hidden="1" customWidth="1" outlineLevel="1"/>
    <col min="92" max="92" width="14.140625" hidden="1" customWidth="1" outlineLevel="1"/>
    <col min="93" max="93" width="2.5703125" hidden="1" customWidth="1" outlineLevel="1"/>
    <col min="94" max="94" width="12.28515625" style="15" hidden="1" customWidth="1" outlineLevel="1"/>
    <col min="95" max="95" width="3.140625" hidden="1" customWidth="1" outlineLevel="1"/>
    <col min="96" max="96" width="9.85546875" style="15" hidden="1" customWidth="1" outlineLevel="1"/>
    <col min="97" max="97" width="8.85546875" style="31" hidden="1" customWidth="1" outlineLevel="1"/>
    <col min="98" max="98" width="3" hidden="1" customWidth="1" outlineLevel="1"/>
    <col min="99" max="99" width="11.85546875" style="15" hidden="1" customWidth="1" outlineLevel="2"/>
    <col min="100" max="100" width="14.140625" hidden="1" customWidth="1" outlineLevel="2"/>
    <col min="101" max="101" width="1.140625" hidden="1" customWidth="1" outlineLevel="2"/>
    <col min="102" max="102" width="11.85546875" style="15" hidden="1" customWidth="1" outlineLevel="2"/>
    <col min="103" max="103" width="12" hidden="1" customWidth="1" outlineLevel="2"/>
    <col min="104" max="104" width="3.140625" hidden="1" customWidth="1" outlineLevel="2"/>
    <col min="105" max="105" width="11.85546875" style="15" hidden="1" customWidth="1" outlineLevel="2"/>
    <col min="106" max="106" width="12" hidden="1" customWidth="1" outlineLevel="2"/>
    <col min="107" max="107" width="3.85546875" hidden="1" customWidth="1" outlineLevel="2"/>
    <col min="108" max="108" width="11.85546875" style="15" hidden="1" customWidth="1" outlineLevel="2"/>
    <col min="109" max="109" width="12" hidden="1" customWidth="1" outlineLevel="2"/>
    <col min="110" max="110" width="3.28515625" hidden="1" customWidth="1" outlineLevel="2"/>
    <col min="111" max="111" width="11.85546875" style="15" hidden="1" customWidth="1" outlineLevel="2"/>
    <col min="112" max="112" width="12" hidden="1" customWidth="1" outlineLevel="2"/>
    <col min="113" max="113" width="9.140625" hidden="1" customWidth="1" outlineLevel="2"/>
    <col min="114" max="114" width="11.85546875" style="15" hidden="1" customWidth="1" outlineLevel="2"/>
    <col min="115" max="115" width="12" hidden="1" customWidth="1" outlineLevel="2"/>
    <col min="116" max="116" width="9.140625" hidden="1" customWidth="1" outlineLevel="2"/>
    <col min="117" max="117" width="11.85546875" style="15" hidden="1" customWidth="1" outlineLevel="2"/>
    <col min="118" max="118" width="12" hidden="1" customWidth="1" outlineLevel="2"/>
    <col min="119" max="119" width="4.140625" hidden="1" customWidth="1" outlineLevel="1"/>
    <col min="120" max="120" width="11.85546875" style="15" hidden="1" customWidth="1" outlineLevel="1"/>
    <col min="121" max="121" width="12" hidden="1" customWidth="1" outlineLevel="1"/>
    <col min="122" max="122" width="2.28515625" hidden="1" customWidth="1" outlineLevel="1"/>
    <col min="123" max="123" width="11.85546875" style="15" hidden="1" customWidth="1" outlineLevel="1"/>
    <col min="124" max="124" width="2.7109375" hidden="1" customWidth="1" outlineLevel="1"/>
    <col min="125" max="125" width="11.85546875" style="15" hidden="1" customWidth="1" outlineLevel="1"/>
    <col min="126" max="126" width="9.140625" hidden="1" customWidth="1" outlineLevel="1"/>
    <col min="127" max="127" width="11.85546875" style="15" hidden="1" customWidth="1" outlineLevel="2"/>
    <col min="128" max="128" width="12" hidden="1" customWidth="1" outlineLevel="2"/>
    <col min="129" max="129" width="2.28515625" hidden="1" customWidth="1" outlineLevel="2"/>
    <col min="130" max="130" width="11.85546875" style="15" hidden="1" customWidth="1" outlineLevel="2"/>
    <col min="131" max="131" width="12" hidden="1" customWidth="1" outlineLevel="2"/>
    <col min="132" max="132" width="2.85546875" hidden="1" customWidth="1" outlineLevel="2"/>
    <col min="133" max="133" width="11.85546875" style="15" hidden="1" customWidth="1" outlineLevel="2"/>
    <col min="134" max="134" width="12" hidden="1" customWidth="1" outlineLevel="2"/>
    <col min="135" max="135" width="3.140625" hidden="1" customWidth="1" outlineLevel="2"/>
    <col min="136" max="136" width="11.85546875" style="15" hidden="1" customWidth="1" outlineLevel="2"/>
    <col min="137" max="137" width="12" hidden="1" customWidth="1" outlineLevel="2"/>
    <col min="138" max="138" width="9.140625" hidden="1" customWidth="1" outlineLevel="1"/>
    <col min="139" max="139" width="11.85546875" style="15" customWidth="1" collapsed="1"/>
    <col min="140" max="140" width="2.7109375" customWidth="1"/>
    <col min="141" max="141" width="11.85546875" style="15" customWidth="1"/>
    <col min="143" max="143" width="12.85546875" style="15" hidden="1" customWidth="1" outlineLevel="2"/>
    <col min="144" max="144" width="14.140625" hidden="1" customWidth="1" outlineLevel="2"/>
    <col min="145" max="145" width="8.85546875" collapsed="1"/>
    <col min="146" max="146" width="13.28515625" style="15" hidden="1" customWidth="1" outlineLevel="2"/>
    <col min="147" max="147" width="15.7109375" hidden="1" customWidth="1" outlineLevel="2"/>
    <col min="148" max="148" width="9.140625" collapsed="1"/>
    <col min="149" max="149" width="13.28515625" style="15" hidden="1" customWidth="1" outlineLevel="2"/>
    <col min="150" max="150" width="15.7109375" hidden="1" customWidth="1" outlineLevel="2"/>
    <col min="151" max="151" width="9.140625" collapsed="1"/>
    <col min="152" max="152" width="13.28515625" style="15" hidden="1" customWidth="1" outlineLevel="2"/>
    <col min="153" max="153" width="15.7109375" hidden="1" customWidth="1" outlineLevel="2"/>
    <col min="154" max="154" width="9.140625" collapsed="1"/>
    <col min="155" max="155" width="13.28515625" style="15" customWidth="1" outlineLevel="2"/>
    <col min="156" max="156" width="17.42578125" customWidth="1" outlineLevel="2"/>
    <col min="157" max="157" width="4.140625" customWidth="1"/>
    <col min="158" max="158" width="13.85546875" style="189" customWidth="1" collapsed="1"/>
    <col min="159" max="159" width="6" customWidth="1"/>
    <col min="160" max="160" width="11.85546875" style="15" customWidth="1"/>
    <col min="163" max="163" width="12.42578125" bestFit="1" customWidth="1"/>
  </cols>
  <sheetData>
    <row r="1" spans="1:161" ht="15.75" thickBot="1">
      <c r="A1" s="466" t="s">
        <v>283</v>
      </c>
      <c r="B1" s="467"/>
      <c r="C1" s="467"/>
      <c r="D1" s="467"/>
      <c r="E1" s="467"/>
      <c r="F1" s="467"/>
      <c r="G1" s="467"/>
      <c r="H1" s="467"/>
      <c r="K1" s="16">
        <v>0.03</v>
      </c>
      <c r="AZ1" s="15">
        <f>AZ124</f>
        <v>211541.07</v>
      </c>
      <c r="BA1" s="15">
        <f>BA124</f>
        <v>4603541.07</v>
      </c>
      <c r="BC1" s="15">
        <f>BC124</f>
        <v>0</v>
      </c>
      <c r="BD1" s="15">
        <f>BD124</f>
        <v>4603541.07</v>
      </c>
      <c r="BF1" s="15">
        <f>BF124</f>
        <v>49297.26</v>
      </c>
      <c r="BG1" s="15">
        <f>BG124</f>
        <v>4652838.33</v>
      </c>
      <c r="BI1" s="15">
        <f>BI124</f>
        <v>1092487.9100000001</v>
      </c>
      <c r="BJ1" s="15">
        <f>BJ124</f>
        <v>5745326.2400000002</v>
      </c>
      <c r="BZ1" s="145"/>
      <c r="CB1" s="15">
        <f>CB124</f>
        <v>7787728.96</v>
      </c>
      <c r="CD1" s="15">
        <f>CD124</f>
        <v>152000</v>
      </c>
      <c r="CE1" s="15">
        <f>CE124</f>
        <v>7939728.96</v>
      </c>
      <c r="CG1" s="15">
        <f>CG124</f>
        <v>0</v>
      </c>
      <c r="CH1" s="15">
        <f>CH124</f>
        <v>7939728.96</v>
      </c>
      <c r="CJ1" s="15">
        <f>CJ124</f>
        <v>102500</v>
      </c>
      <c r="CK1" s="15">
        <f>CK124</f>
        <v>8042228.96</v>
      </c>
      <c r="CM1" s="15">
        <f>CM124</f>
        <v>-241741.08</v>
      </c>
      <c r="CN1" s="15">
        <f>CN124</f>
        <v>7800487.8799999999</v>
      </c>
      <c r="CR1" s="15">
        <f>CR124</f>
        <v>7036388.8899999997</v>
      </c>
      <c r="CU1" s="15">
        <f>CU124</f>
        <v>0</v>
      </c>
      <c r="CV1" s="15">
        <f>CV124</f>
        <v>7036388.8899999997</v>
      </c>
      <c r="CX1" s="15">
        <f>CX124</f>
        <v>142761</v>
      </c>
      <c r="CY1" s="15">
        <f>CY124</f>
        <v>7179149.8899999997</v>
      </c>
      <c r="DA1" s="15">
        <f>DA124</f>
        <v>1245134</v>
      </c>
      <c r="DB1" s="15">
        <f>DB124</f>
        <v>8424283.8900000006</v>
      </c>
      <c r="DD1" s="15">
        <f>DD124</f>
        <v>138000</v>
      </c>
      <c r="DE1" s="15">
        <f>DE124</f>
        <v>8562283.8900000006</v>
      </c>
      <c r="DG1" s="15">
        <f>DG124</f>
        <v>177000</v>
      </c>
      <c r="DH1" s="15">
        <f>DH124</f>
        <v>8739283.8900000006</v>
      </c>
      <c r="DJ1" s="15">
        <f>DJ124</f>
        <v>135000</v>
      </c>
      <c r="DK1" s="15">
        <f>DK124</f>
        <v>8874283.8900000006</v>
      </c>
      <c r="DM1" s="15">
        <f>DM124</f>
        <v>-81700</v>
      </c>
      <c r="DN1" s="15">
        <f>DN124</f>
        <v>8792583.8900000006</v>
      </c>
      <c r="DP1" s="15">
        <f>DP124</f>
        <v>0</v>
      </c>
      <c r="DQ1" s="15">
        <f>DQ124</f>
        <v>8792041.8900000006</v>
      </c>
      <c r="DS1" s="15">
        <f>DS124</f>
        <v>8910928.7300000004</v>
      </c>
      <c r="DU1" s="15">
        <f>DU124</f>
        <v>7413100</v>
      </c>
      <c r="DW1" s="15">
        <f>DW124</f>
        <v>63080</v>
      </c>
      <c r="DX1" s="15">
        <f>DX124</f>
        <v>7476180</v>
      </c>
      <c r="DZ1" s="15" t="e">
        <f>DZ124</f>
        <v>#REF!</v>
      </c>
      <c r="EA1" s="15" t="e">
        <f>EA124</f>
        <v>#REF!</v>
      </c>
      <c r="EC1" s="15" t="e">
        <f>EC124</f>
        <v>#REF!</v>
      </c>
      <c r="ED1" s="15" t="e">
        <f>ED124</f>
        <v>#REF!</v>
      </c>
      <c r="EF1" s="15">
        <f>EF124</f>
        <v>-67539</v>
      </c>
      <c r="EG1" s="15">
        <f>EG124</f>
        <v>7807934</v>
      </c>
      <c r="EI1" s="15">
        <f>EI124</f>
        <v>7705649.9400000004</v>
      </c>
      <c r="EK1" s="15">
        <f>EK124</f>
        <v>7536900</v>
      </c>
      <c r="EM1" s="15">
        <f>EM124</f>
        <v>19598449.530000001</v>
      </c>
      <c r="EN1" s="15">
        <f>EN124</f>
        <v>27135349.530000001</v>
      </c>
      <c r="EP1" s="15">
        <f>EP124</f>
        <v>0</v>
      </c>
      <c r="EQ1" s="15">
        <f>EQ124</f>
        <v>27135349.530000001</v>
      </c>
      <c r="ES1" s="15">
        <f>ES124</f>
        <v>-1850000</v>
      </c>
      <c r="ET1" s="15">
        <f>ET124</f>
        <v>25285349.530000001</v>
      </c>
      <c r="EV1" s="15">
        <f>EV124</f>
        <v>180636</v>
      </c>
      <c r="EW1" s="15">
        <f>EW124</f>
        <v>25465985.530000001</v>
      </c>
      <c r="EY1" s="15">
        <f>EY124</f>
        <v>-52180</v>
      </c>
      <c r="EZ1" s="15">
        <f>EZ124</f>
        <v>25413805.530000001</v>
      </c>
      <c r="FB1" s="189">
        <f>FB124</f>
        <v>15322828.98</v>
      </c>
      <c r="FD1" s="15">
        <f>FD124</f>
        <v>18762804.27</v>
      </c>
    </row>
    <row r="2" spans="1:161" ht="18.75">
      <c r="A2" s="11"/>
      <c r="D2" s="470">
        <v>2019</v>
      </c>
      <c r="E2" s="470"/>
      <c r="F2" s="470"/>
      <c r="G2" s="470"/>
      <c r="H2" s="470"/>
      <c r="I2" s="12">
        <f>12/10</f>
        <v>1.2</v>
      </c>
      <c r="J2" s="12"/>
      <c r="L2" s="125">
        <v>2020</v>
      </c>
      <c r="P2" t="s">
        <v>389</v>
      </c>
      <c r="R2" t="s">
        <v>389</v>
      </c>
      <c r="U2" s="118" t="s">
        <v>406</v>
      </c>
      <c r="X2" s="125" t="s">
        <v>411</v>
      </c>
      <c r="Z2" s="118" t="s">
        <v>413</v>
      </c>
      <c r="AD2" s="471" t="s">
        <v>436</v>
      </c>
      <c r="AE2" s="472"/>
      <c r="AF2" s="473"/>
      <c r="AH2" s="471" t="s">
        <v>440</v>
      </c>
      <c r="AI2" s="472"/>
      <c r="AJ2" s="473"/>
      <c r="AL2" s="274">
        <v>2020</v>
      </c>
      <c r="AM2" s="192"/>
      <c r="AN2" s="274">
        <v>2021</v>
      </c>
      <c r="BL2" s="232">
        <v>2021</v>
      </c>
      <c r="BO2" s="232">
        <v>2022</v>
      </c>
      <c r="BZ2" s="145"/>
      <c r="CP2" s="232">
        <v>2022</v>
      </c>
      <c r="CR2" s="367">
        <v>2023</v>
      </c>
      <c r="DS2" s="374">
        <v>2023</v>
      </c>
      <c r="DU2" s="343">
        <v>2024</v>
      </c>
      <c r="EI2" s="343">
        <v>2024</v>
      </c>
      <c r="EK2" s="343">
        <v>2025</v>
      </c>
      <c r="FB2" s="343">
        <v>2025</v>
      </c>
      <c r="FD2" s="343">
        <v>2026</v>
      </c>
    </row>
    <row r="3" spans="1:161" ht="45.75" thickBot="1">
      <c r="A3" s="1" t="s">
        <v>0</v>
      </c>
      <c r="B3" s="1" t="s">
        <v>0</v>
      </c>
      <c r="C3" s="1" t="s">
        <v>0</v>
      </c>
      <c r="D3" s="1" t="s">
        <v>1</v>
      </c>
      <c r="E3" s="26" t="s">
        <v>0</v>
      </c>
      <c r="F3" s="1" t="s">
        <v>2</v>
      </c>
      <c r="G3" s="26" t="s">
        <v>0</v>
      </c>
      <c r="H3" s="2" t="s">
        <v>281</v>
      </c>
      <c r="I3" s="13" t="s">
        <v>285</v>
      </c>
      <c r="J3" s="13"/>
      <c r="L3" s="119" t="s">
        <v>2</v>
      </c>
      <c r="M3" t="s">
        <v>291</v>
      </c>
      <c r="N3" t="s">
        <v>289</v>
      </c>
      <c r="P3" s="142">
        <v>43891</v>
      </c>
      <c r="Q3" s="142"/>
      <c r="R3" s="131">
        <v>43963</v>
      </c>
      <c r="AD3" s="474"/>
      <c r="AE3" s="475"/>
      <c r="AF3" s="476"/>
      <c r="AH3" s="474"/>
      <c r="AI3" s="475"/>
      <c r="AJ3" s="476"/>
      <c r="AL3" s="118" t="s">
        <v>442</v>
      </c>
      <c r="AM3" s="125"/>
      <c r="AN3" s="118" t="s">
        <v>452</v>
      </c>
      <c r="AO3" s="15" t="s">
        <v>455</v>
      </c>
      <c r="AP3" t="s">
        <v>453</v>
      </c>
      <c r="AQ3" t="s">
        <v>454</v>
      </c>
      <c r="AZ3" t="s">
        <v>396</v>
      </c>
      <c r="BC3" t="s">
        <v>406</v>
      </c>
      <c r="BF3" t="s">
        <v>411</v>
      </c>
      <c r="BI3" s="15" t="s">
        <v>413</v>
      </c>
      <c r="BL3" s="231" t="s">
        <v>442</v>
      </c>
      <c r="BM3" s="233" t="s">
        <v>499</v>
      </c>
      <c r="BO3" s="231" t="s">
        <v>547</v>
      </c>
      <c r="BP3" s="233" t="s">
        <v>502</v>
      </c>
      <c r="BR3" s="118" t="s">
        <v>396</v>
      </c>
      <c r="BU3" s="118" t="s">
        <v>406</v>
      </c>
      <c r="BX3" s="118" t="s">
        <v>411</v>
      </c>
      <c r="BZ3" s="145" t="s">
        <v>560</v>
      </c>
      <c r="CA3" s="300" t="s">
        <v>561</v>
      </c>
      <c r="CD3" s="300" t="s">
        <v>413</v>
      </c>
      <c r="CG3" s="317" t="s">
        <v>436</v>
      </c>
      <c r="CJ3" s="317" t="s">
        <v>440</v>
      </c>
      <c r="CM3" s="317" t="s">
        <v>574</v>
      </c>
      <c r="CP3" s="231" t="s">
        <v>442</v>
      </c>
      <c r="CR3" s="300" t="s">
        <v>547</v>
      </c>
      <c r="CS3" s="233" t="s">
        <v>578</v>
      </c>
      <c r="CU3" s="300" t="s">
        <v>396</v>
      </c>
      <c r="CV3" s="131">
        <v>44984</v>
      </c>
      <c r="CX3" s="300" t="s">
        <v>406</v>
      </c>
      <c r="CY3" s="131">
        <v>45001</v>
      </c>
      <c r="DA3" s="317" t="s">
        <v>411</v>
      </c>
      <c r="DB3" s="131">
        <v>45044</v>
      </c>
      <c r="DD3" s="317" t="s">
        <v>413</v>
      </c>
      <c r="DE3" s="131">
        <v>45066</v>
      </c>
      <c r="DG3" s="317" t="s">
        <v>436</v>
      </c>
      <c r="DH3" s="370">
        <v>45124</v>
      </c>
      <c r="DJ3" s="317" t="s">
        <v>440</v>
      </c>
      <c r="DK3" s="370">
        <v>45190</v>
      </c>
      <c r="DM3" s="317" t="s">
        <v>574</v>
      </c>
      <c r="DN3" s="370">
        <v>45257</v>
      </c>
      <c r="DP3" s="317" t="s">
        <v>648</v>
      </c>
      <c r="DQ3" s="370">
        <v>45278</v>
      </c>
      <c r="DS3" s="317" t="s">
        <v>442</v>
      </c>
      <c r="DU3" s="317" t="s">
        <v>659</v>
      </c>
      <c r="DW3" s="317" t="s">
        <v>664</v>
      </c>
      <c r="DX3" s="370">
        <v>45377</v>
      </c>
      <c r="DZ3" s="317" t="s">
        <v>665</v>
      </c>
      <c r="EA3" s="370">
        <v>45408</v>
      </c>
      <c r="EC3" s="317" t="s">
        <v>674</v>
      </c>
      <c r="ED3" s="370">
        <v>45532</v>
      </c>
      <c r="EF3" s="317" t="s">
        <v>677</v>
      </c>
      <c r="EG3" s="370">
        <v>45615</v>
      </c>
      <c r="EI3" s="317" t="s">
        <v>442</v>
      </c>
      <c r="EK3" s="317" t="s">
        <v>659</v>
      </c>
      <c r="EM3" s="317" t="s">
        <v>703</v>
      </c>
      <c r="EN3" s="370">
        <v>45825</v>
      </c>
      <c r="EP3" s="317" t="s">
        <v>619</v>
      </c>
      <c r="EQ3" s="370">
        <v>45831</v>
      </c>
      <c r="ES3" s="317" t="s">
        <v>707</v>
      </c>
      <c r="ET3" s="370">
        <v>45897</v>
      </c>
      <c r="EV3" s="317" t="s">
        <v>710</v>
      </c>
      <c r="EW3" s="370">
        <v>45919</v>
      </c>
      <c r="EY3" s="317" t="s">
        <v>716</v>
      </c>
      <c r="EZ3" s="370">
        <v>46006</v>
      </c>
      <c r="FB3" s="448" t="s">
        <v>442</v>
      </c>
      <c r="FD3" s="317" t="s">
        <v>659</v>
      </c>
    </row>
    <row r="4" spans="1:161" ht="15.75" thickBot="1">
      <c r="A4" s="1" t="s">
        <v>4</v>
      </c>
      <c r="B4" s="1" t="s">
        <v>5</v>
      </c>
      <c r="C4" s="4" t="s">
        <v>6</v>
      </c>
      <c r="D4" s="1" t="s">
        <v>7</v>
      </c>
      <c r="E4" s="26" t="s">
        <v>8</v>
      </c>
      <c r="F4" s="1" t="s">
        <v>9</v>
      </c>
      <c r="G4" s="26" t="s">
        <v>8</v>
      </c>
      <c r="H4" s="2" t="s">
        <v>282</v>
      </c>
      <c r="I4" s="13" t="s">
        <v>286</v>
      </c>
      <c r="J4" s="13"/>
      <c r="L4" s="120"/>
      <c r="M4" t="s">
        <v>288</v>
      </c>
      <c r="N4" t="s">
        <v>290</v>
      </c>
      <c r="P4" s="146">
        <v>0.1</v>
      </c>
      <c r="Q4" s="146">
        <v>0.15</v>
      </c>
      <c r="R4" s="146">
        <v>0.2</v>
      </c>
      <c r="S4" s="146">
        <v>0.28000000000000003</v>
      </c>
      <c r="AB4" s="186" t="s">
        <v>434</v>
      </c>
      <c r="AC4" s="186"/>
      <c r="AF4" s="181" t="s">
        <v>437</v>
      </c>
      <c r="AG4" s="186"/>
      <c r="AJ4" s="181" t="s">
        <v>441</v>
      </c>
      <c r="AZ4" t="s">
        <v>467</v>
      </c>
      <c r="BA4" t="s">
        <v>468</v>
      </c>
      <c r="BC4" t="s">
        <v>467</v>
      </c>
      <c r="BD4" t="s">
        <v>468</v>
      </c>
      <c r="BF4" t="s">
        <v>467</v>
      </c>
      <c r="BG4" t="s">
        <v>468</v>
      </c>
      <c r="BI4" s="15" t="s">
        <v>467</v>
      </c>
      <c r="BJ4" t="s">
        <v>468</v>
      </c>
      <c r="BR4" s="15" t="s">
        <v>467</v>
      </c>
      <c r="BS4" t="s">
        <v>468</v>
      </c>
      <c r="BU4" s="15" t="s">
        <v>467</v>
      </c>
      <c r="BV4" t="s">
        <v>468</v>
      </c>
      <c r="BX4" s="15" t="s">
        <v>467</v>
      </c>
      <c r="BY4" t="s">
        <v>468</v>
      </c>
      <c r="BZ4" s="145"/>
      <c r="CA4" s="15" t="s">
        <v>467</v>
      </c>
      <c r="CB4" t="s">
        <v>468</v>
      </c>
      <c r="CD4" s="15" t="s">
        <v>467</v>
      </c>
      <c r="CE4" t="s">
        <v>468</v>
      </c>
      <c r="CG4" s="15" t="s">
        <v>467</v>
      </c>
      <c r="CH4" t="s">
        <v>468</v>
      </c>
      <c r="CJ4" s="15" t="s">
        <v>467</v>
      </c>
      <c r="CK4" t="s">
        <v>468</v>
      </c>
      <c r="CM4" s="15" t="s">
        <v>467</v>
      </c>
      <c r="CN4" t="s">
        <v>468</v>
      </c>
      <c r="CU4" s="15" t="s">
        <v>467</v>
      </c>
      <c r="CV4" t="s">
        <v>468</v>
      </c>
      <c r="CX4" s="15" t="s">
        <v>467</v>
      </c>
      <c r="CY4" t="s">
        <v>468</v>
      </c>
      <c r="DA4" s="15" t="s">
        <v>467</v>
      </c>
      <c r="DB4" t="s">
        <v>468</v>
      </c>
      <c r="DD4" s="15" t="s">
        <v>467</v>
      </c>
      <c r="DE4" t="s">
        <v>468</v>
      </c>
      <c r="DG4" s="15" t="s">
        <v>467</v>
      </c>
      <c r="DH4" t="s">
        <v>468</v>
      </c>
      <c r="DJ4" s="15" t="s">
        <v>467</v>
      </c>
      <c r="DK4" t="s">
        <v>468</v>
      </c>
      <c r="DM4" s="15" t="s">
        <v>467</v>
      </c>
      <c r="DN4" t="s">
        <v>468</v>
      </c>
      <c r="DP4" s="15" t="s">
        <v>467</v>
      </c>
      <c r="DQ4" t="s">
        <v>468</v>
      </c>
      <c r="DW4" s="15" t="s">
        <v>467</v>
      </c>
      <c r="DX4" t="s">
        <v>468</v>
      </c>
      <c r="DZ4" s="15" t="s">
        <v>467</v>
      </c>
      <c r="EA4" t="s">
        <v>468</v>
      </c>
      <c r="EC4" s="15" t="s">
        <v>467</v>
      </c>
      <c r="ED4" t="s">
        <v>468</v>
      </c>
      <c r="EF4" s="15" t="s">
        <v>467</v>
      </c>
      <c r="EG4" t="s">
        <v>468</v>
      </c>
      <c r="EM4" s="15" t="s">
        <v>467</v>
      </c>
      <c r="EN4" t="s">
        <v>468</v>
      </c>
      <c r="EP4" s="15" t="s">
        <v>467</v>
      </c>
      <c r="EQ4" t="s">
        <v>468</v>
      </c>
      <c r="ES4" s="15" t="s">
        <v>467</v>
      </c>
      <c r="ET4" t="s">
        <v>468</v>
      </c>
      <c r="EV4" s="15" t="s">
        <v>467</v>
      </c>
      <c r="EW4" t="s">
        <v>468</v>
      </c>
      <c r="EY4" s="15" t="s">
        <v>467</v>
      </c>
      <c r="EZ4" s="12" t="s">
        <v>468</v>
      </c>
    </row>
    <row r="5" spans="1:161" outlineLevel="1">
      <c r="A5" s="3" t="s">
        <v>11</v>
      </c>
      <c r="B5" s="3" t="s">
        <v>12</v>
      </c>
      <c r="C5" s="5" t="s">
        <v>13</v>
      </c>
      <c r="D5" s="6">
        <v>1010000</v>
      </c>
      <c r="E5" s="27">
        <v>82.3</v>
      </c>
      <c r="F5" s="6">
        <v>1010000</v>
      </c>
      <c r="G5" s="27">
        <v>82.3</v>
      </c>
      <c r="H5" s="7">
        <v>831253.08</v>
      </c>
      <c r="I5" s="14">
        <v>1000000</v>
      </c>
      <c r="J5" s="14"/>
      <c r="K5" s="15">
        <f>I5*(1+$K$1)</f>
        <v>1030000</v>
      </c>
      <c r="L5" s="158">
        <v>1100000</v>
      </c>
      <c r="M5" s="17">
        <f>L5/F5-1</f>
        <v>8.9108910891089188E-2</v>
      </c>
      <c r="N5" s="17">
        <f>L5/I5-1</f>
        <v>0.10000000000000009</v>
      </c>
      <c r="P5" s="15">
        <f t="shared" ref="P5:P10" si="0">(L5/4)+((L5*3/4)*(1-$P$4))</f>
        <v>1017500</v>
      </c>
      <c r="Q5" s="15">
        <f t="shared" ref="Q5:Q10" si="1">(L5/4)+((L5*3/4)*(1-$Q$4))</f>
        <v>976250</v>
      </c>
      <c r="R5" s="15">
        <f t="shared" ref="R5:R10" si="2">(L5/4)+((L5*3/4)*(1-$R$4))</f>
        <v>935000</v>
      </c>
      <c r="S5" s="15">
        <f t="shared" ref="S5:S10" si="3">(L5/4)+((L5*3/4)*(1-$S$4))</f>
        <v>869000</v>
      </c>
      <c r="U5" s="118">
        <f>880000</f>
        <v>880000</v>
      </c>
      <c r="V5" s="17">
        <f>U5/L5-1</f>
        <v>-0.19999999999999996</v>
      </c>
      <c r="X5" s="118">
        <f>U5</f>
        <v>880000</v>
      </c>
      <c r="Z5" s="118">
        <v>950000</v>
      </c>
      <c r="AB5" s="187">
        <f>Z5-X5</f>
        <v>70000</v>
      </c>
      <c r="AC5" s="187"/>
      <c r="AD5" s="118">
        <v>1000000</v>
      </c>
      <c r="AE5" s="187"/>
      <c r="AF5" s="182">
        <f>AD5-Z5</f>
        <v>50000</v>
      </c>
      <c r="AG5" s="187"/>
      <c r="AH5" s="118">
        <v>1050000</v>
      </c>
      <c r="AI5" s="187"/>
      <c r="AJ5" s="182">
        <f>AH5-AD5</f>
        <v>50000</v>
      </c>
      <c r="AK5" s="118"/>
      <c r="AL5" s="15">
        <v>1049799.99</v>
      </c>
      <c r="AM5" s="189"/>
      <c r="AN5" s="227">
        <v>800000</v>
      </c>
      <c r="AO5" s="17">
        <f>AN5/L5-1</f>
        <v>-0.27272727272727271</v>
      </c>
      <c r="AP5" s="17">
        <f>AN5/AH5-1</f>
        <v>-0.23809523809523814</v>
      </c>
      <c r="AQ5" s="17">
        <f>AN5/AL5-1</f>
        <v>-0.23795007847161442</v>
      </c>
      <c r="BA5" s="15">
        <f>AN5+AZ5</f>
        <v>800000</v>
      </c>
      <c r="BD5" s="15">
        <f>BA5</f>
        <v>800000</v>
      </c>
      <c r="BG5" s="15">
        <f>BD5</f>
        <v>800000</v>
      </c>
      <c r="BI5" s="15">
        <v>-60000</v>
      </c>
      <c r="BJ5" s="15">
        <f>BG5+BI5</f>
        <v>740000</v>
      </c>
      <c r="BL5" s="15">
        <v>776923.65</v>
      </c>
      <c r="BM5" s="235">
        <f>BL5/BJ5</f>
        <v>1.0498968243243243</v>
      </c>
      <c r="BO5" s="15">
        <v>800000</v>
      </c>
      <c r="BP5" s="235">
        <f>BO5/BL5</f>
        <v>1.0297022107642109</v>
      </c>
      <c r="BS5" s="15">
        <f>BO5+BR5</f>
        <v>800000</v>
      </c>
      <c r="BV5" s="15">
        <f t="shared" ref="BV5:BV21" si="4">BS5+BU5</f>
        <v>800000</v>
      </c>
      <c r="BY5" s="15">
        <f t="shared" ref="BY5:BY11" si="5">BV5+BX5</f>
        <v>800000</v>
      </c>
      <c r="BZ5" s="145"/>
      <c r="CB5" s="15">
        <f t="shared" ref="CB5:CB10" si="6">BY5+CA5</f>
        <v>800000</v>
      </c>
      <c r="CE5" s="15">
        <f t="shared" ref="CE5:CE10" si="7">CB5+CD5</f>
        <v>800000</v>
      </c>
      <c r="CH5" s="15">
        <f t="shared" ref="CH5:CH10" si="8">CE5+CG5</f>
        <v>800000</v>
      </c>
      <c r="CJ5" s="227">
        <v>10000</v>
      </c>
      <c r="CK5" s="15">
        <f t="shared" ref="CK5:CK10" si="9">CH5+CJ5</f>
        <v>810000</v>
      </c>
      <c r="CN5" s="15">
        <f t="shared" ref="CN5:CN10" si="10">CK5+CM5</f>
        <v>810000</v>
      </c>
      <c r="CP5" s="15">
        <v>809558.57</v>
      </c>
      <c r="CR5" s="15">
        <v>850000</v>
      </c>
      <c r="CS5" s="235">
        <f>CR5/CP5</f>
        <v>1.0499549155535468</v>
      </c>
      <c r="CV5" s="15">
        <f>CR5+CU5</f>
        <v>850000</v>
      </c>
      <c r="CY5" s="15">
        <f t="shared" ref="CY5:CY21" si="11">CV5+CX5</f>
        <v>850000</v>
      </c>
      <c r="DB5" s="15">
        <f t="shared" ref="DB5:DB21" si="12">CY5+DA5</f>
        <v>850000</v>
      </c>
      <c r="DE5" s="15">
        <f t="shared" ref="DE5:DE21" si="13">DB5+DD5</f>
        <v>850000</v>
      </c>
      <c r="DH5" s="15">
        <f t="shared" ref="DH5:DH21" si="14">DE5+DG5</f>
        <v>850000</v>
      </c>
      <c r="DJ5" s="227">
        <v>70000</v>
      </c>
      <c r="DK5" s="15">
        <f t="shared" ref="DK5:DK21" si="15">DH5+DJ5</f>
        <v>920000</v>
      </c>
      <c r="DM5" s="227">
        <v>-15000</v>
      </c>
      <c r="DN5" s="15">
        <f t="shared" ref="DN5:DN21" si="16">DK5+DM5</f>
        <v>905000</v>
      </c>
      <c r="DQ5" s="15">
        <f t="shared" ref="DQ5:DQ21" si="17">DN5+DP5</f>
        <v>905000</v>
      </c>
      <c r="DS5" s="15">
        <v>905416.76</v>
      </c>
      <c r="DU5" s="15">
        <v>965000</v>
      </c>
      <c r="DV5" s="235">
        <f>DU5/DS5</f>
        <v>1.0658075293415157</v>
      </c>
      <c r="DX5" s="15">
        <f t="shared" ref="DX5:DX21" si="18">DU5+DW5</f>
        <v>965000</v>
      </c>
      <c r="EA5" s="15">
        <f t="shared" ref="EA5:EA21" si="19">DX5+DZ5</f>
        <v>965000</v>
      </c>
      <c r="ED5" s="15">
        <f t="shared" ref="ED5:ED21" si="20">EA5+EC5</f>
        <v>965000</v>
      </c>
      <c r="EG5" s="15">
        <f t="shared" ref="EG5:EG21" si="21">ED5+EF5</f>
        <v>965000</v>
      </c>
      <c r="EI5" s="15">
        <v>993685</v>
      </c>
      <c r="EK5" s="15">
        <v>1040000</v>
      </c>
      <c r="EL5" s="235">
        <f>EK5/EI5</f>
        <v>1.046609337969276</v>
      </c>
      <c r="EN5" s="15">
        <f t="shared" ref="EN5:EN20" si="22">EK5+EM5</f>
        <v>1040000</v>
      </c>
      <c r="EQ5" s="15">
        <f t="shared" ref="EQ5:EQ21" si="23">EN5+EP5</f>
        <v>1040000</v>
      </c>
      <c r="ET5" s="15">
        <f t="shared" ref="ET5:ET21" si="24">EQ5+ES5</f>
        <v>1040000</v>
      </c>
      <c r="EW5" s="15">
        <f t="shared" ref="EW5:EW21" si="25">ET5+EV5</f>
        <v>1040000</v>
      </c>
      <c r="EZ5" s="189">
        <f t="shared" ref="EZ5:EZ21" si="26">EW5+EY5</f>
        <v>1040000</v>
      </c>
      <c r="FB5" s="189">
        <v>1094499.3700000001</v>
      </c>
      <c r="FD5" s="15">
        <v>1220000</v>
      </c>
      <c r="FE5" s="235">
        <f>FD5/FB5</f>
        <v>1.1146648718491268</v>
      </c>
    </row>
    <row r="6" spans="1:161" outlineLevel="1">
      <c r="A6" s="1" t="s">
        <v>11</v>
      </c>
      <c r="B6" s="1" t="s">
        <v>14</v>
      </c>
      <c r="C6" s="4" t="s">
        <v>15</v>
      </c>
      <c r="D6" s="8">
        <v>23000</v>
      </c>
      <c r="E6" s="28">
        <v>84.16</v>
      </c>
      <c r="F6" s="8">
        <v>23000</v>
      </c>
      <c r="G6" s="28">
        <v>84.16</v>
      </c>
      <c r="H6" s="9">
        <v>19356.05</v>
      </c>
      <c r="I6" s="14">
        <v>24000</v>
      </c>
      <c r="J6" s="14"/>
      <c r="K6" s="15">
        <f t="shared" ref="K6:K11" si="27">I6*(1+$K$1)</f>
        <v>24720</v>
      </c>
      <c r="L6" s="158">
        <v>25000</v>
      </c>
      <c r="M6" s="17">
        <f t="shared" ref="M6:M16" si="28">L6/F6-1</f>
        <v>8.6956521739130377E-2</v>
      </c>
      <c r="N6" s="17">
        <f t="shared" ref="N6:N21" si="29">L6/I6-1</f>
        <v>4.1666666666666741E-2</v>
      </c>
      <c r="P6" s="15">
        <f t="shared" si="0"/>
        <v>23125</v>
      </c>
      <c r="Q6" s="15">
        <f t="shared" si="1"/>
        <v>22187.5</v>
      </c>
      <c r="R6" s="15">
        <f t="shared" si="2"/>
        <v>21250</v>
      </c>
      <c r="S6" s="15">
        <f t="shared" si="3"/>
        <v>19750</v>
      </c>
      <c r="U6" s="118">
        <v>15000</v>
      </c>
      <c r="V6" s="17">
        <f t="shared" ref="V6:V21" si="30">U6/L6-1</f>
        <v>-0.4</v>
      </c>
      <c r="X6" s="118">
        <f t="shared" ref="X6:X21" si="31">U6</f>
        <v>15000</v>
      </c>
      <c r="Z6" s="118">
        <v>9420</v>
      </c>
      <c r="AB6" s="187">
        <f t="shared" ref="AB6:AB21" si="32">Z6-X6</f>
        <v>-5580</v>
      </c>
      <c r="AC6" s="187"/>
      <c r="AD6" s="118">
        <v>17000</v>
      </c>
      <c r="AE6" s="187"/>
      <c r="AF6" s="182">
        <f t="shared" ref="AF6:AF21" si="33">AD6-Z6</f>
        <v>7580</v>
      </c>
      <c r="AG6" s="187"/>
      <c r="AH6" s="118">
        <v>17000</v>
      </c>
      <c r="AI6" s="187"/>
      <c r="AJ6" s="182">
        <f t="shared" ref="AJ6:AJ11" si="34">AH6-AD6</f>
        <v>0</v>
      </c>
      <c r="AK6" s="118"/>
      <c r="AL6" s="15">
        <v>16969.14</v>
      </c>
      <c r="AM6" s="189"/>
      <c r="AN6" s="227">
        <v>15000</v>
      </c>
      <c r="AO6" s="17">
        <f t="shared" ref="AO6:AO21" si="35">AN6/L6-1</f>
        <v>-0.4</v>
      </c>
      <c r="AP6" s="17">
        <f t="shared" ref="AP6:AP21" si="36">AN6/AH6-1</f>
        <v>-0.11764705882352944</v>
      </c>
      <c r="AQ6" s="17">
        <f t="shared" ref="AQ6:AQ21" si="37">AN6/AL6-1</f>
        <v>-0.11604241582071928</v>
      </c>
      <c r="BA6" s="15">
        <f t="shared" ref="BA6:BA21" si="38">AN6+AZ6</f>
        <v>15000</v>
      </c>
      <c r="BD6" s="15">
        <f t="shared" ref="BD6:BD97" si="39">BA6</f>
        <v>15000</v>
      </c>
      <c r="BG6" s="15">
        <f t="shared" ref="BG6:BG21" si="40">BD6</f>
        <v>15000</v>
      </c>
      <c r="BI6" s="15">
        <v>20000</v>
      </c>
      <c r="BJ6" s="15">
        <f t="shared" ref="BJ6:BJ21" si="41">BG6+BI6</f>
        <v>35000</v>
      </c>
      <c r="BL6" s="15">
        <v>50429.01</v>
      </c>
      <c r="BM6" s="235">
        <f t="shared" ref="BM6:BM28" si="42">BL6/BJ6</f>
        <v>1.4408288571428571</v>
      </c>
      <c r="BO6" s="15">
        <v>52000</v>
      </c>
      <c r="BP6" s="235">
        <f t="shared" ref="BP6:BP8" si="43">BO6/BL6</f>
        <v>1.0311525052742458</v>
      </c>
      <c r="BS6" s="15">
        <f t="shared" ref="BS6:BS21" si="44">BO6+BR6</f>
        <v>52000</v>
      </c>
      <c r="BV6" s="15">
        <f t="shared" si="4"/>
        <v>52000</v>
      </c>
      <c r="BY6" s="15">
        <f t="shared" si="5"/>
        <v>52000</v>
      </c>
      <c r="BZ6" s="145"/>
      <c r="CB6" s="15">
        <f t="shared" si="6"/>
        <v>52000</v>
      </c>
      <c r="CD6" s="227">
        <v>9000</v>
      </c>
      <c r="CE6" s="15">
        <f t="shared" si="7"/>
        <v>61000</v>
      </c>
      <c r="CH6" s="15">
        <f t="shared" si="8"/>
        <v>61000</v>
      </c>
      <c r="CJ6" s="227">
        <v>14000</v>
      </c>
      <c r="CK6" s="15">
        <f t="shared" si="9"/>
        <v>75000</v>
      </c>
      <c r="CN6" s="15">
        <f t="shared" si="10"/>
        <v>75000</v>
      </c>
      <c r="CP6" s="15">
        <v>73969.38</v>
      </c>
      <c r="CR6" s="15">
        <v>80000</v>
      </c>
      <c r="CS6" s="235">
        <f>CR6/CP6</f>
        <v>1.0815286000774915</v>
      </c>
      <c r="CV6" s="15">
        <f t="shared" ref="CV6:CV21" si="45">CR6+CU6</f>
        <v>80000</v>
      </c>
      <c r="CY6" s="15">
        <f t="shared" si="11"/>
        <v>80000</v>
      </c>
      <c r="DB6" s="15">
        <f t="shared" si="12"/>
        <v>80000</v>
      </c>
      <c r="DE6" s="15">
        <f t="shared" si="13"/>
        <v>80000</v>
      </c>
      <c r="DH6" s="15">
        <f t="shared" si="14"/>
        <v>80000</v>
      </c>
      <c r="DK6" s="15">
        <f t="shared" si="15"/>
        <v>80000</v>
      </c>
      <c r="DM6" s="227">
        <v>-14000</v>
      </c>
      <c r="DN6" s="15">
        <f t="shared" si="16"/>
        <v>66000</v>
      </c>
      <c r="DQ6" s="15">
        <f t="shared" si="17"/>
        <v>66000</v>
      </c>
      <c r="DS6" s="15">
        <v>75857.759999999995</v>
      </c>
      <c r="DU6" s="15">
        <v>80000</v>
      </c>
      <c r="DV6" s="235">
        <f>DU6/DS6</f>
        <v>1.0546053561296829</v>
      </c>
      <c r="DX6" s="15">
        <f t="shared" si="18"/>
        <v>80000</v>
      </c>
      <c r="EA6" s="15">
        <f t="shared" si="19"/>
        <v>80000</v>
      </c>
      <c r="ED6" s="15">
        <f t="shared" si="20"/>
        <v>80000</v>
      </c>
      <c r="EF6" s="227">
        <v>-5000</v>
      </c>
      <c r="EG6" s="15">
        <f t="shared" si="21"/>
        <v>75000</v>
      </c>
      <c r="EI6" s="15">
        <v>73517</v>
      </c>
      <c r="EK6" s="15">
        <v>75000</v>
      </c>
      <c r="EL6" s="235">
        <f t="shared" ref="EL6:EL28" si="46">EK6/EI6</f>
        <v>1.0201722050682156</v>
      </c>
      <c r="EM6" s="227">
        <v>-5000</v>
      </c>
      <c r="EN6" s="15">
        <f t="shared" si="22"/>
        <v>70000</v>
      </c>
      <c r="EQ6" s="15">
        <f t="shared" si="23"/>
        <v>70000</v>
      </c>
      <c r="ET6" s="15">
        <f t="shared" si="24"/>
        <v>70000</v>
      </c>
      <c r="EV6" s="227">
        <v>20000</v>
      </c>
      <c r="EW6" s="15">
        <f t="shared" si="25"/>
        <v>90000</v>
      </c>
      <c r="EZ6" s="189">
        <f t="shared" si="26"/>
        <v>90000</v>
      </c>
      <c r="FB6" s="189">
        <v>103940.17</v>
      </c>
      <c r="FD6" s="15">
        <v>120000</v>
      </c>
      <c r="FE6" s="235">
        <f t="shared" ref="FE6:FE22" si="47">FD6/FB6</f>
        <v>1.1545103303179127</v>
      </c>
    </row>
    <row r="7" spans="1:161" outlineLevel="1">
      <c r="A7" s="1" t="s">
        <v>11</v>
      </c>
      <c r="B7" s="1" t="s">
        <v>16</v>
      </c>
      <c r="C7" s="4" t="s">
        <v>17</v>
      </c>
      <c r="D7" s="8">
        <v>91000</v>
      </c>
      <c r="E7" s="28">
        <v>92.03</v>
      </c>
      <c r="F7" s="8">
        <v>91000</v>
      </c>
      <c r="G7" s="28">
        <v>92.03</v>
      </c>
      <c r="H7" s="9">
        <v>83745.94</v>
      </c>
      <c r="I7" s="14">
        <v>100000</v>
      </c>
      <c r="J7" s="14"/>
      <c r="K7" s="15">
        <f t="shared" si="27"/>
        <v>103000</v>
      </c>
      <c r="L7" s="158">
        <v>101000</v>
      </c>
      <c r="M7" s="17">
        <f t="shared" si="28"/>
        <v>0.10989010989010994</v>
      </c>
      <c r="N7" s="17">
        <f t="shared" si="29"/>
        <v>1.0000000000000009E-2</v>
      </c>
      <c r="P7" s="15">
        <f t="shared" si="0"/>
        <v>93425</v>
      </c>
      <c r="Q7" s="15">
        <f t="shared" si="1"/>
        <v>89637.5</v>
      </c>
      <c r="R7" s="15">
        <f t="shared" si="2"/>
        <v>85850</v>
      </c>
      <c r="S7" s="15">
        <f t="shared" si="3"/>
        <v>79790</v>
      </c>
      <c r="U7" s="118">
        <v>90000</v>
      </c>
      <c r="V7" s="17">
        <f t="shared" si="30"/>
        <v>-0.1089108910891089</v>
      </c>
      <c r="X7" s="118">
        <f t="shared" si="31"/>
        <v>90000</v>
      </c>
      <c r="Z7" s="118">
        <v>98000</v>
      </c>
      <c r="AB7" s="187">
        <f t="shared" si="32"/>
        <v>8000</v>
      </c>
      <c r="AC7" s="187"/>
      <c r="AD7" s="118">
        <v>104000</v>
      </c>
      <c r="AE7" s="187"/>
      <c r="AF7" s="182">
        <f t="shared" si="33"/>
        <v>6000</v>
      </c>
      <c r="AG7" s="187"/>
      <c r="AH7" s="118">
        <v>104000</v>
      </c>
      <c r="AI7" s="187"/>
      <c r="AJ7" s="182">
        <f t="shared" si="34"/>
        <v>0</v>
      </c>
      <c r="AK7" s="118"/>
      <c r="AL7" s="15">
        <v>103688.41</v>
      </c>
      <c r="AM7" s="189"/>
      <c r="AN7" s="227">
        <v>80000</v>
      </c>
      <c r="AO7" s="17">
        <f t="shared" si="35"/>
        <v>-0.20792079207920788</v>
      </c>
      <c r="AP7" s="17">
        <f t="shared" si="36"/>
        <v>-0.23076923076923073</v>
      </c>
      <c r="AQ7" s="17">
        <f t="shared" si="37"/>
        <v>-0.22845764536267843</v>
      </c>
      <c r="BA7" s="15">
        <f t="shared" si="38"/>
        <v>80000</v>
      </c>
      <c r="BD7" s="15">
        <f t="shared" si="39"/>
        <v>80000</v>
      </c>
      <c r="BG7" s="15">
        <f t="shared" si="40"/>
        <v>80000</v>
      </c>
      <c r="BI7" s="15">
        <v>40000</v>
      </c>
      <c r="BJ7" s="15">
        <f t="shared" si="41"/>
        <v>120000</v>
      </c>
      <c r="BL7" s="15">
        <v>130795.64</v>
      </c>
      <c r="BM7" s="235">
        <f t="shared" si="42"/>
        <v>1.0899636666666666</v>
      </c>
      <c r="BO7" s="15">
        <v>133000</v>
      </c>
      <c r="BP7" s="235">
        <f t="shared" si="43"/>
        <v>1.0168534669810094</v>
      </c>
      <c r="BR7" s="15">
        <v>7000</v>
      </c>
      <c r="BS7" s="15">
        <f t="shared" si="44"/>
        <v>140000</v>
      </c>
      <c r="BV7" s="15">
        <f t="shared" si="4"/>
        <v>140000</v>
      </c>
      <c r="BY7" s="15">
        <f t="shared" si="5"/>
        <v>140000</v>
      </c>
      <c r="BZ7" s="145"/>
      <c r="CB7" s="15">
        <f t="shared" si="6"/>
        <v>140000</v>
      </c>
      <c r="CD7" s="227">
        <v>9000</v>
      </c>
      <c r="CE7" s="15">
        <f t="shared" si="7"/>
        <v>149000</v>
      </c>
      <c r="CH7" s="15">
        <f t="shared" si="8"/>
        <v>149000</v>
      </c>
      <c r="CJ7" s="227">
        <v>16000</v>
      </c>
      <c r="CK7" s="15">
        <f t="shared" si="9"/>
        <v>165000</v>
      </c>
      <c r="CN7" s="15">
        <f t="shared" si="10"/>
        <v>165000</v>
      </c>
      <c r="CP7" s="15">
        <v>164440.95999999999</v>
      </c>
      <c r="CR7" s="15">
        <v>175000</v>
      </c>
      <c r="CS7" s="235">
        <f>CR7/CP7</f>
        <v>1.0642117389730636</v>
      </c>
      <c r="CV7" s="15">
        <f t="shared" si="45"/>
        <v>175000</v>
      </c>
      <c r="CY7" s="15">
        <f t="shared" si="11"/>
        <v>175000</v>
      </c>
      <c r="DB7" s="15">
        <f t="shared" si="12"/>
        <v>175000</v>
      </c>
      <c r="DE7" s="15">
        <f t="shared" si="13"/>
        <v>175000</v>
      </c>
      <c r="DF7">
        <v>995684</v>
      </c>
      <c r="DH7" s="15">
        <f t="shared" si="14"/>
        <v>175000</v>
      </c>
      <c r="DJ7" s="227">
        <v>25000</v>
      </c>
      <c r="DK7" s="15">
        <f t="shared" si="15"/>
        <v>200000</v>
      </c>
      <c r="DM7" s="227">
        <f>21300+852</f>
        <v>22152</v>
      </c>
      <c r="DN7" s="15">
        <f t="shared" si="16"/>
        <v>222152</v>
      </c>
      <c r="DQ7" s="15">
        <f t="shared" si="17"/>
        <v>222152</v>
      </c>
      <c r="DS7" s="15">
        <v>219012.35</v>
      </c>
      <c r="DU7" s="15">
        <v>230000</v>
      </c>
      <c r="DV7" s="235">
        <f>DU7/DS7</f>
        <v>1.0501690886381521</v>
      </c>
      <c r="DX7" s="15">
        <f t="shared" si="18"/>
        <v>230000</v>
      </c>
      <c r="EA7" s="15">
        <f t="shared" si="19"/>
        <v>230000</v>
      </c>
      <c r="ED7" s="15">
        <f t="shared" si="20"/>
        <v>230000</v>
      </c>
      <c r="EG7" s="15">
        <f t="shared" si="21"/>
        <v>230000</v>
      </c>
      <c r="EI7" s="15">
        <v>228581.75</v>
      </c>
      <c r="EK7" s="15">
        <v>238000</v>
      </c>
      <c r="EL7" s="235">
        <f t="shared" si="46"/>
        <v>1.0412029831777909</v>
      </c>
      <c r="EN7" s="15">
        <f t="shared" si="22"/>
        <v>238000</v>
      </c>
      <c r="EQ7" s="15">
        <f t="shared" si="23"/>
        <v>238000</v>
      </c>
      <c r="ET7" s="15">
        <f t="shared" si="24"/>
        <v>238000</v>
      </c>
      <c r="EW7" s="15">
        <f t="shared" si="25"/>
        <v>238000</v>
      </c>
      <c r="EZ7" s="189">
        <f t="shared" si="26"/>
        <v>238000</v>
      </c>
      <c r="FB7" s="189">
        <v>210650.93</v>
      </c>
      <c r="FD7" s="15">
        <v>220000</v>
      </c>
      <c r="FE7" s="235">
        <f t="shared" si="47"/>
        <v>1.0443818121287194</v>
      </c>
    </row>
    <row r="8" spans="1:161" outlineLevel="1">
      <c r="A8" s="1" t="s">
        <v>11</v>
      </c>
      <c r="B8" s="1" t="s">
        <v>18</v>
      </c>
      <c r="C8" s="4" t="s">
        <v>19</v>
      </c>
      <c r="D8" s="8">
        <v>875000</v>
      </c>
      <c r="E8" s="28">
        <v>87.66</v>
      </c>
      <c r="F8" s="8">
        <v>875000</v>
      </c>
      <c r="G8" s="28">
        <v>87.66</v>
      </c>
      <c r="H8" s="9">
        <v>767029.6</v>
      </c>
      <c r="I8" s="14">
        <v>930000</v>
      </c>
      <c r="J8" s="14"/>
      <c r="K8" s="15">
        <f t="shared" si="27"/>
        <v>957900</v>
      </c>
      <c r="L8" s="158">
        <v>960000</v>
      </c>
      <c r="M8" s="17">
        <f t="shared" si="28"/>
        <v>9.7142857142857197E-2</v>
      </c>
      <c r="N8" s="17">
        <f t="shared" si="29"/>
        <v>3.2258064516129004E-2</v>
      </c>
      <c r="P8" s="15">
        <f t="shared" si="0"/>
        <v>888000</v>
      </c>
      <c r="Q8" s="15">
        <f t="shared" si="1"/>
        <v>852000</v>
      </c>
      <c r="R8" s="15">
        <f t="shared" si="2"/>
        <v>816000</v>
      </c>
      <c r="S8" s="15">
        <f t="shared" si="3"/>
        <v>758400</v>
      </c>
      <c r="U8" s="118">
        <v>670000</v>
      </c>
      <c r="V8" s="17">
        <f t="shared" si="30"/>
        <v>-0.30208333333333337</v>
      </c>
      <c r="X8" s="118">
        <f t="shared" si="31"/>
        <v>670000</v>
      </c>
      <c r="Z8" s="118">
        <v>729000</v>
      </c>
      <c r="AB8" s="187">
        <f t="shared" si="32"/>
        <v>59000</v>
      </c>
      <c r="AC8" s="187"/>
      <c r="AD8" s="118">
        <v>729000</v>
      </c>
      <c r="AE8" s="187"/>
      <c r="AF8" s="182">
        <f t="shared" si="33"/>
        <v>0</v>
      </c>
      <c r="AG8" s="187"/>
      <c r="AH8" s="118">
        <v>777000</v>
      </c>
      <c r="AI8" s="187"/>
      <c r="AJ8" s="182">
        <f t="shared" si="34"/>
        <v>48000</v>
      </c>
      <c r="AK8" s="118"/>
      <c r="AL8" s="15">
        <v>776694.5</v>
      </c>
      <c r="AM8" s="189"/>
      <c r="AN8" s="227">
        <v>700000</v>
      </c>
      <c r="AO8" s="17">
        <f t="shared" si="35"/>
        <v>-0.27083333333333337</v>
      </c>
      <c r="AP8" s="17">
        <f t="shared" si="36"/>
        <v>-9.9099099099099086E-2</v>
      </c>
      <c r="AQ8" s="17">
        <f t="shared" si="37"/>
        <v>-9.8744744555291697E-2</v>
      </c>
      <c r="BA8" s="15">
        <f t="shared" si="38"/>
        <v>700000</v>
      </c>
      <c r="BD8" s="15">
        <f t="shared" si="39"/>
        <v>700000</v>
      </c>
      <c r="BG8" s="15">
        <f t="shared" si="40"/>
        <v>700000</v>
      </c>
      <c r="BI8" s="15">
        <v>400000</v>
      </c>
      <c r="BJ8" s="15">
        <f t="shared" si="41"/>
        <v>1100000</v>
      </c>
      <c r="BL8" s="15">
        <v>1103474.74</v>
      </c>
      <c r="BM8" s="235">
        <f t="shared" si="42"/>
        <v>1.0031588545454546</v>
      </c>
      <c r="BO8" s="15">
        <v>1125000</v>
      </c>
      <c r="BP8" s="235">
        <f t="shared" si="43"/>
        <v>1.0195067990410003</v>
      </c>
      <c r="BR8" s="15">
        <v>25000</v>
      </c>
      <c r="BS8" s="15">
        <f t="shared" si="44"/>
        <v>1150000</v>
      </c>
      <c r="BV8" s="15">
        <f t="shared" si="4"/>
        <v>1150000</v>
      </c>
      <c r="BY8" s="15">
        <f t="shared" si="5"/>
        <v>1150000</v>
      </c>
      <c r="BZ8" s="145"/>
      <c r="CB8" s="15">
        <f t="shared" si="6"/>
        <v>1150000</v>
      </c>
      <c r="CE8" s="15">
        <f t="shared" si="7"/>
        <v>1150000</v>
      </c>
      <c r="CH8" s="15">
        <f t="shared" si="8"/>
        <v>1150000</v>
      </c>
      <c r="CJ8" s="227">
        <v>100000</v>
      </c>
      <c r="CK8" s="15">
        <f t="shared" si="9"/>
        <v>1250000</v>
      </c>
      <c r="CN8" s="15">
        <f t="shared" si="10"/>
        <v>1250000</v>
      </c>
      <c r="CP8" s="15">
        <v>1242496.46</v>
      </c>
      <c r="CR8" s="15">
        <v>1320000</v>
      </c>
      <c r="CS8" s="235">
        <f>CR8/CP8</f>
        <v>1.062377272286152</v>
      </c>
      <c r="CV8" s="15">
        <f t="shared" si="45"/>
        <v>1320000</v>
      </c>
      <c r="CY8" s="15">
        <f t="shared" si="11"/>
        <v>1320000</v>
      </c>
      <c r="DB8" s="15">
        <f t="shared" si="12"/>
        <v>1320000</v>
      </c>
      <c r="DE8" s="15">
        <f t="shared" si="13"/>
        <v>1320000</v>
      </c>
      <c r="DF8">
        <v>249450</v>
      </c>
      <c r="DH8" s="15">
        <f t="shared" si="14"/>
        <v>1320000</v>
      </c>
      <c r="DJ8" s="227">
        <v>60000</v>
      </c>
      <c r="DK8" s="15">
        <f t="shared" si="15"/>
        <v>1380000</v>
      </c>
      <c r="DM8" s="227">
        <v>90000</v>
      </c>
      <c r="DN8" s="15">
        <f t="shared" si="16"/>
        <v>1470000</v>
      </c>
      <c r="DQ8" s="15">
        <f t="shared" si="17"/>
        <v>1470000</v>
      </c>
      <c r="DS8" s="15">
        <v>1585871.66</v>
      </c>
      <c r="DU8" s="15">
        <v>1650000</v>
      </c>
      <c r="DV8" s="235">
        <f>DU8/DS8</f>
        <v>1.0404372822955927</v>
      </c>
      <c r="DX8" s="15">
        <f t="shared" si="18"/>
        <v>1650000</v>
      </c>
      <c r="EA8" s="15">
        <f t="shared" si="19"/>
        <v>1650000</v>
      </c>
      <c r="ED8" s="15">
        <f t="shared" si="20"/>
        <v>1650000</v>
      </c>
      <c r="EF8" s="227">
        <v>-130000</v>
      </c>
      <c r="EG8" s="15">
        <f t="shared" si="21"/>
        <v>1520000</v>
      </c>
      <c r="EI8" s="15">
        <v>1416154.45</v>
      </c>
      <c r="EK8" s="15">
        <v>1480000</v>
      </c>
      <c r="EL8" s="235">
        <f t="shared" si="46"/>
        <v>1.0450837477508192</v>
      </c>
      <c r="EN8" s="15">
        <f t="shared" si="22"/>
        <v>1480000</v>
      </c>
      <c r="EQ8" s="15">
        <f t="shared" si="23"/>
        <v>1480000</v>
      </c>
      <c r="ET8" s="15">
        <f t="shared" si="24"/>
        <v>1480000</v>
      </c>
      <c r="EV8" s="227">
        <v>120000</v>
      </c>
      <c r="EW8" s="15">
        <f t="shared" si="25"/>
        <v>1600000</v>
      </c>
      <c r="EZ8" s="189">
        <f t="shared" si="26"/>
        <v>1600000</v>
      </c>
      <c r="FB8" s="189">
        <v>1595233.62</v>
      </c>
      <c r="FD8" s="15">
        <v>1650000</v>
      </c>
      <c r="FE8" s="235">
        <f t="shared" si="47"/>
        <v>1.0343312598940837</v>
      </c>
    </row>
    <row r="9" spans="1:161" outlineLevel="1">
      <c r="A9" s="1" t="s">
        <v>11</v>
      </c>
      <c r="B9" s="1" t="s">
        <v>20</v>
      </c>
      <c r="C9" s="4" t="s">
        <v>21</v>
      </c>
      <c r="D9" s="8">
        <v>0</v>
      </c>
      <c r="E9" s="28">
        <v>0</v>
      </c>
      <c r="F9" s="8">
        <v>38380</v>
      </c>
      <c r="G9" s="28">
        <v>100</v>
      </c>
      <c r="H9" s="9">
        <v>38380</v>
      </c>
      <c r="I9" s="14">
        <v>46000</v>
      </c>
      <c r="J9" s="14"/>
      <c r="K9" s="15">
        <f t="shared" si="27"/>
        <v>47380</v>
      </c>
      <c r="L9" s="158">
        <v>48000</v>
      </c>
      <c r="M9" s="17">
        <f t="shared" si="28"/>
        <v>0.25065138092756634</v>
      </c>
      <c r="N9" s="17">
        <f t="shared" si="29"/>
        <v>4.3478260869565188E-2</v>
      </c>
      <c r="P9" s="15">
        <f t="shared" si="0"/>
        <v>44400</v>
      </c>
      <c r="Q9" s="15">
        <f t="shared" si="1"/>
        <v>42600</v>
      </c>
      <c r="R9" s="15">
        <f t="shared" si="2"/>
        <v>40800</v>
      </c>
      <c r="S9" s="15">
        <f t="shared" si="3"/>
        <v>37920</v>
      </c>
      <c r="U9" s="118">
        <v>0</v>
      </c>
      <c r="V9" s="17">
        <f t="shared" si="30"/>
        <v>-1</v>
      </c>
      <c r="X9" s="118">
        <f t="shared" si="31"/>
        <v>0</v>
      </c>
      <c r="Z9" s="118">
        <v>0</v>
      </c>
      <c r="AB9" s="187">
        <f t="shared" si="32"/>
        <v>0</v>
      </c>
      <c r="AC9" s="187"/>
      <c r="AD9" s="118">
        <v>0</v>
      </c>
      <c r="AE9" s="187"/>
      <c r="AF9" s="182">
        <f t="shared" si="33"/>
        <v>0</v>
      </c>
      <c r="AG9" s="187"/>
      <c r="AH9" s="118">
        <v>38600</v>
      </c>
      <c r="AI9" s="187"/>
      <c r="AJ9" s="182">
        <f t="shared" si="34"/>
        <v>38600</v>
      </c>
      <c r="AK9" s="118"/>
      <c r="AL9" s="15">
        <v>38570</v>
      </c>
      <c r="AM9" s="189"/>
      <c r="AN9" s="227">
        <v>0</v>
      </c>
      <c r="AO9" s="17">
        <f t="shared" si="35"/>
        <v>-1</v>
      </c>
      <c r="AP9" s="17">
        <f t="shared" si="36"/>
        <v>-1</v>
      </c>
      <c r="AQ9" s="17">
        <f t="shared" si="37"/>
        <v>-1</v>
      </c>
      <c r="BA9" s="15">
        <f t="shared" si="38"/>
        <v>0</v>
      </c>
      <c r="BD9" s="15">
        <f t="shared" si="39"/>
        <v>0</v>
      </c>
      <c r="BG9" s="15">
        <f t="shared" si="40"/>
        <v>0</v>
      </c>
      <c r="BJ9" s="15">
        <f t="shared" si="41"/>
        <v>0</v>
      </c>
      <c r="BM9" s="235"/>
      <c r="BS9" s="15">
        <f t="shared" si="44"/>
        <v>0</v>
      </c>
      <c r="BV9" s="15">
        <f t="shared" si="4"/>
        <v>0</v>
      </c>
      <c r="BY9" s="15">
        <f t="shared" si="5"/>
        <v>0</v>
      </c>
      <c r="BZ9" s="145"/>
      <c r="CB9" s="15">
        <f t="shared" si="6"/>
        <v>0</v>
      </c>
      <c r="CE9" s="15">
        <f t="shared" si="7"/>
        <v>0</v>
      </c>
      <c r="CH9" s="15">
        <f t="shared" si="8"/>
        <v>0</v>
      </c>
      <c r="CK9" s="15">
        <f t="shared" si="9"/>
        <v>0</v>
      </c>
      <c r="CN9" s="15">
        <f t="shared" si="10"/>
        <v>0</v>
      </c>
      <c r="CV9" s="15">
        <f t="shared" si="45"/>
        <v>0</v>
      </c>
      <c r="CY9" s="15">
        <f t="shared" si="11"/>
        <v>0</v>
      </c>
      <c r="DB9" s="15">
        <f t="shared" si="12"/>
        <v>0</v>
      </c>
      <c r="DE9" s="15">
        <f t="shared" si="13"/>
        <v>0</v>
      </c>
      <c r="DH9" s="15">
        <f t="shared" si="14"/>
        <v>0</v>
      </c>
      <c r="DK9" s="15">
        <f t="shared" si="15"/>
        <v>0</v>
      </c>
      <c r="DN9" s="15">
        <f t="shared" si="16"/>
        <v>0</v>
      </c>
      <c r="DQ9" s="15">
        <f t="shared" si="17"/>
        <v>0</v>
      </c>
      <c r="DS9" s="15">
        <v>0</v>
      </c>
      <c r="DU9" s="15">
        <v>0</v>
      </c>
      <c r="DV9" s="31"/>
      <c r="DW9" s="227">
        <v>63080</v>
      </c>
      <c r="DX9" s="15">
        <f t="shared" si="18"/>
        <v>63080</v>
      </c>
      <c r="EA9" s="15">
        <f t="shared" si="19"/>
        <v>63080</v>
      </c>
      <c r="ED9" s="15">
        <f t="shared" si="20"/>
        <v>63080</v>
      </c>
      <c r="EG9" s="15">
        <f t="shared" si="21"/>
        <v>63080</v>
      </c>
      <c r="EI9" s="15">
        <v>63080</v>
      </c>
      <c r="EK9" s="15">
        <v>64000</v>
      </c>
      <c r="EL9" s="235">
        <f t="shared" si="46"/>
        <v>1.014584654407102</v>
      </c>
      <c r="EN9" s="15">
        <f t="shared" si="22"/>
        <v>64000</v>
      </c>
      <c r="EQ9" s="15">
        <f t="shared" si="23"/>
        <v>64000</v>
      </c>
      <c r="ET9" s="15">
        <f t="shared" si="24"/>
        <v>64000</v>
      </c>
      <c r="EV9" s="227">
        <v>5000</v>
      </c>
      <c r="EW9" s="15">
        <f t="shared" si="25"/>
        <v>69000</v>
      </c>
      <c r="EZ9" s="189">
        <f t="shared" si="26"/>
        <v>69000</v>
      </c>
      <c r="FB9" s="189">
        <v>54600</v>
      </c>
      <c r="FD9" s="15">
        <v>64000</v>
      </c>
      <c r="FE9" s="235">
        <f t="shared" si="47"/>
        <v>1.1721611721611722</v>
      </c>
    </row>
    <row r="10" spans="1:161" outlineLevel="1">
      <c r="A10" s="1" t="s">
        <v>11</v>
      </c>
      <c r="B10" s="1" t="s">
        <v>22</v>
      </c>
      <c r="C10" s="4" t="s">
        <v>23</v>
      </c>
      <c r="D10" s="8">
        <v>2100000</v>
      </c>
      <c r="E10" s="28">
        <v>79.510000000000005</v>
      </c>
      <c r="F10" s="8">
        <v>2100000</v>
      </c>
      <c r="G10" s="28">
        <v>79.510000000000005</v>
      </c>
      <c r="H10" s="9">
        <v>1669703.17</v>
      </c>
      <c r="I10" s="14">
        <v>2100000</v>
      </c>
      <c r="J10" s="14"/>
      <c r="K10" s="15">
        <f t="shared" si="27"/>
        <v>2163000</v>
      </c>
      <c r="L10" s="158">
        <v>2220000</v>
      </c>
      <c r="M10" s="17">
        <f t="shared" si="28"/>
        <v>5.7142857142857162E-2</v>
      </c>
      <c r="N10" s="17">
        <f t="shared" si="29"/>
        <v>5.7142857142857162E-2</v>
      </c>
      <c r="P10" s="15">
        <f t="shared" si="0"/>
        <v>2053500</v>
      </c>
      <c r="Q10" s="15">
        <f t="shared" si="1"/>
        <v>1970250</v>
      </c>
      <c r="R10" s="15">
        <f t="shared" si="2"/>
        <v>1887000</v>
      </c>
      <c r="S10" s="15">
        <f t="shared" si="3"/>
        <v>1753800</v>
      </c>
      <c r="U10" s="118">
        <v>1900000</v>
      </c>
      <c r="V10" s="17">
        <f t="shared" si="30"/>
        <v>-0.14414414414414412</v>
      </c>
      <c r="X10" s="118">
        <f t="shared" si="31"/>
        <v>1900000</v>
      </c>
      <c r="Z10" s="118">
        <v>2050000</v>
      </c>
      <c r="AB10" s="187">
        <f t="shared" si="32"/>
        <v>150000</v>
      </c>
      <c r="AC10" s="187"/>
      <c r="AD10" s="118">
        <v>2050000</v>
      </c>
      <c r="AE10" s="187"/>
      <c r="AF10" s="182">
        <f t="shared" si="33"/>
        <v>0</v>
      </c>
      <c r="AG10" s="187"/>
      <c r="AH10" s="118">
        <v>2126000</v>
      </c>
      <c r="AI10" s="187"/>
      <c r="AJ10" s="182">
        <f t="shared" si="34"/>
        <v>76000</v>
      </c>
      <c r="AK10" s="118"/>
      <c r="AL10" s="15">
        <v>2125899.85</v>
      </c>
      <c r="AM10" s="189"/>
      <c r="AN10" s="227">
        <v>2000000</v>
      </c>
      <c r="AO10" s="17">
        <f t="shared" si="35"/>
        <v>-9.9099099099099086E-2</v>
      </c>
      <c r="AP10" s="17">
        <f t="shared" si="36"/>
        <v>-5.9266227657572945E-2</v>
      </c>
      <c r="AQ10" s="17">
        <f t="shared" si="37"/>
        <v>-5.9221910194875882E-2</v>
      </c>
      <c r="BA10" s="15">
        <f t="shared" si="38"/>
        <v>2000000</v>
      </c>
      <c r="BD10" s="15">
        <f t="shared" si="39"/>
        <v>2000000</v>
      </c>
      <c r="BG10" s="15">
        <f t="shared" si="40"/>
        <v>2000000</v>
      </c>
      <c r="BI10" s="15">
        <v>350000</v>
      </c>
      <c r="BJ10" s="15">
        <f>BG10+BI10</f>
        <v>2350000</v>
      </c>
      <c r="BL10" s="15">
        <v>2468598.54</v>
      </c>
      <c r="BM10" s="235">
        <f t="shared" si="42"/>
        <v>1.0504674638297873</v>
      </c>
      <c r="BO10" s="15">
        <v>2750000</v>
      </c>
      <c r="BP10" s="235">
        <f t="shared" ref="BP10:BP16" si="48">BO10/BL10</f>
        <v>1.1139923950534298</v>
      </c>
      <c r="BR10" s="15">
        <v>50000</v>
      </c>
      <c r="BS10" s="15">
        <f t="shared" si="44"/>
        <v>2800000</v>
      </c>
      <c r="BU10" s="227">
        <v>100000</v>
      </c>
      <c r="BV10" s="15">
        <f t="shared" si="4"/>
        <v>2900000</v>
      </c>
      <c r="BY10" s="15">
        <f t="shared" si="5"/>
        <v>2900000</v>
      </c>
      <c r="BZ10" s="145"/>
      <c r="CB10" s="15">
        <f t="shared" si="6"/>
        <v>2900000</v>
      </c>
      <c r="CE10" s="15">
        <f t="shared" si="7"/>
        <v>2900000</v>
      </c>
      <c r="CH10" s="15">
        <f t="shared" si="8"/>
        <v>2900000</v>
      </c>
      <c r="CJ10" s="227">
        <v>-50000</v>
      </c>
      <c r="CK10" s="15">
        <f t="shared" si="9"/>
        <v>2850000</v>
      </c>
      <c r="CN10" s="15">
        <f t="shared" si="10"/>
        <v>2850000</v>
      </c>
      <c r="CP10" s="15">
        <v>2826386.12</v>
      </c>
      <c r="CR10" s="15">
        <v>3100000</v>
      </c>
      <c r="CS10" s="235">
        <f t="shared" ref="CS10:CS16" si="49">CR10/CP10</f>
        <v>1.0968069712994486</v>
      </c>
      <c r="CV10" s="15">
        <f t="shared" si="45"/>
        <v>3100000</v>
      </c>
      <c r="CY10" s="15">
        <f t="shared" si="11"/>
        <v>3100000</v>
      </c>
      <c r="DB10" s="15">
        <f t="shared" si="12"/>
        <v>3100000</v>
      </c>
      <c r="DE10" s="15">
        <f t="shared" si="13"/>
        <v>3100000</v>
      </c>
      <c r="DH10" s="15">
        <f t="shared" si="14"/>
        <v>3100000</v>
      </c>
      <c r="DJ10" s="227">
        <v>-50000</v>
      </c>
      <c r="DK10" s="15">
        <f t="shared" si="15"/>
        <v>3050000</v>
      </c>
      <c r="DM10" s="227">
        <f>16700-200000</f>
        <v>-183300</v>
      </c>
      <c r="DN10" s="15">
        <f t="shared" si="16"/>
        <v>2866700</v>
      </c>
      <c r="DQ10" s="15">
        <f t="shared" si="17"/>
        <v>2866700</v>
      </c>
      <c r="DS10" s="15">
        <v>2860418.82</v>
      </c>
      <c r="DU10" s="15">
        <v>2930000</v>
      </c>
      <c r="DV10" s="235">
        <f t="shared" ref="DV10:DV16" si="50">DU10/DS10</f>
        <v>1.0243255216730816</v>
      </c>
      <c r="DX10" s="15">
        <f t="shared" si="18"/>
        <v>2930000</v>
      </c>
      <c r="EA10" s="15">
        <f t="shared" si="19"/>
        <v>2930000</v>
      </c>
      <c r="ED10" s="15">
        <f t="shared" si="20"/>
        <v>2930000</v>
      </c>
      <c r="EF10" s="227">
        <v>-70000</v>
      </c>
      <c r="EG10" s="15">
        <f t="shared" si="21"/>
        <v>2860000</v>
      </c>
      <c r="EI10" s="15">
        <v>2841792.1</v>
      </c>
      <c r="EK10" s="15">
        <v>2900000</v>
      </c>
      <c r="EL10" s="235">
        <f t="shared" si="46"/>
        <v>1.0204828143480305</v>
      </c>
      <c r="EN10" s="15">
        <f t="shared" si="22"/>
        <v>2900000</v>
      </c>
      <c r="EQ10" s="15">
        <f t="shared" si="23"/>
        <v>2900000</v>
      </c>
      <c r="ET10" s="15">
        <f t="shared" si="24"/>
        <v>2900000</v>
      </c>
      <c r="EW10" s="15">
        <f t="shared" si="25"/>
        <v>2900000</v>
      </c>
      <c r="EZ10" s="189">
        <f t="shared" si="26"/>
        <v>2900000</v>
      </c>
      <c r="FB10" s="189">
        <v>2975105.29</v>
      </c>
      <c r="FD10" s="15">
        <v>3130000</v>
      </c>
      <c r="FE10" s="235">
        <f t="shared" si="47"/>
        <v>1.0520636061253483</v>
      </c>
    </row>
    <row r="11" spans="1:161" outlineLevel="1">
      <c r="A11" s="1" t="s">
        <v>11</v>
      </c>
      <c r="B11" s="1" t="s">
        <v>24</v>
      </c>
      <c r="C11" s="4" t="s">
        <v>25</v>
      </c>
      <c r="D11" s="8">
        <v>0</v>
      </c>
      <c r="E11" s="28">
        <v>0</v>
      </c>
      <c r="F11" s="8">
        <v>18962.8</v>
      </c>
      <c r="G11" s="28">
        <v>152.63</v>
      </c>
      <c r="H11" s="9">
        <v>28943.200000000001</v>
      </c>
      <c r="I11" s="14">
        <f>H11</f>
        <v>28943.200000000001</v>
      </c>
      <c r="J11" s="14"/>
      <c r="K11" s="15">
        <f t="shared" si="27"/>
        <v>29811.496000000003</v>
      </c>
      <c r="L11" s="158">
        <v>0</v>
      </c>
      <c r="M11" s="17">
        <f t="shared" si="28"/>
        <v>-1</v>
      </c>
      <c r="N11" s="17">
        <f t="shared" si="29"/>
        <v>-1</v>
      </c>
      <c r="P11" s="15">
        <v>0</v>
      </c>
      <c r="Q11" s="15">
        <v>0</v>
      </c>
      <c r="R11" s="15">
        <v>0</v>
      </c>
      <c r="S11" s="15">
        <v>0</v>
      </c>
      <c r="U11" s="118">
        <v>19000</v>
      </c>
      <c r="V11" s="17" t="e">
        <f t="shared" si="30"/>
        <v>#DIV/0!</v>
      </c>
      <c r="X11" s="118">
        <f t="shared" si="31"/>
        <v>19000</v>
      </c>
      <c r="Z11" s="118">
        <v>29000</v>
      </c>
      <c r="AB11" s="187">
        <f t="shared" si="32"/>
        <v>10000</v>
      </c>
      <c r="AC11" s="187"/>
      <c r="AD11" s="118">
        <v>29000</v>
      </c>
      <c r="AE11" s="187"/>
      <c r="AF11" s="182">
        <f t="shared" si="33"/>
        <v>0</v>
      </c>
      <c r="AG11" s="187"/>
      <c r="AH11" s="118">
        <v>34500</v>
      </c>
      <c r="AI11" s="187"/>
      <c r="AJ11" s="182">
        <f t="shared" si="34"/>
        <v>5500</v>
      </c>
      <c r="AK11" s="118"/>
      <c r="AL11" s="15">
        <v>34453.03</v>
      </c>
      <c r="AM11" s="189"/>
      <c r="AN11" s="227">
        <v>0</v>
      </c>
      <c r="AO11" s="17"/>
      <c r="AP11" s="17">
        <f t="shared" si="36"/>
        <v>-1</v>
      </c>
      <c r="AQ11" s="17">
        <f t="shared" si="37"/>
        <v>-1</v>
      </c>
      <c r="BA11" s="15">
        <f t="shared" si="38"/>
        <v>0</v>
      </c>
      <c r="BD11" s="15">
        <f t="shared" si="39"/>
        <v>0</v>
      </c>
      <c r="BG11" s="15">
        <f t="shared" si="40"/>
        <v>0</v>
      </c>
      <c r="BI11" s="15">
        <v>19000</v>
      </c>
      <c r="BJ11" s="15">
        <f t="shared" si="41"/>
        <v>19000</v>
      </c>
      <c r="BL11" s="15">
        <v>18962.8</v>
      </c>
      <c r="BM11" s="235">
        <f t="shared" si="42"/>
        <v>0.99804210526315784</v>
      </c>
      <c r="BO11" s="15">
        <v>20000</v>
      </c>
      <c r="BP11" s="235">
        <f t="shared" si="48"/>
        <v>1.0546965637985952</v>
      </c>
      <c r="BR11" s="15">
        <v>20000</v>
      </c>
      <c r="BS11" s="15">
        <f t="shared" si="44"/>
        <v>40000</v>
      </c>
      <c r="BV11" s="15">
        <f t="shared" si="4"/>
        <v>40000</v>
      </c>
      <c r="BY11" s="15">
        <f t="shared" si="5"/>
        <v>40000</v>
      </c>
      <c r="BZ11" s="145">
        <v>4274.55</v>
      </c>
      <c r="CB11" s="15">
        <f>BY11+CA11</f>
        <v>40000</v>
      </c>
      <c r="CD11" s="227">
        <v>30000</v>
      </c>
      <c r="CE11" s="15">
        <f>CB11+CD11</f>
        <v>70000</v>
      </c>
      <c r="CH11" s="15">
        <f>CE11+CG11</f>
        <v>70000</v>
      </c>
      <c r="CJ11" s="227">
        <v>13000</v>
      </c>
      <c r="CK11" s="15">
        <f>CH11+CJ11</f>
        <v>83000</v>
      </c>
      <c r="CN11" s="15">
        <f>CK11+CM11</f>
        <v>83000</v>
      </c>
      <c r="CP11" s="15">
        <v>82469.25</v>
      </c>
      <c r="CR11" s="15">
        <v>20000</v>
      </c>
      <c r="CS11" s="235">
        <f t="shared" si="49"/>
        <v>0.24251463424246006</v>
      </c>
      <c r="CV11" s="15">
        <f t="shared" si="45"/>
        <v>20000</v>
      </c>
      <c r="CY11" s="15">
        <f t="shared" si="11"/>
        <v>20000</v>
      </c>
      <c r="DB11" s="15">
        <f t="shared" si="12"/>
        <v>20000</v>
      </c>
      <c r="DD11" s="227">
        <v>10000</v>
      </c>
      <c r="DE11" s="15">
        <f t="shared" si="13"/>
        <v>30000</v>
      </c>
      <c r="DH11" s="15">
        <f t="shared" si="14"/>
        <v>30000</v>
      </c>
      <c r="DJ11" s="227">
        <v>15000</v>
      </c>
      <c r="DK11" s="15">
        <f t="shared" si="15"/>
        <v>45000</v>
      </c>
      <c r="DM11" s="227">
        <v>-5000</v>
      </c>
      <c r="DN11" s="15">
        <f t="shared" si="16"/>
        <v>40000</v>
      </c>
      <c r="DQ11" s="15">
        <f t="shared" si="17"/>
        <v>40000</v>
      </c>
      <c r="DS11" s="15">
        <v>35903.94</v>
      </c>
      <c r="DU11" s="15">
        <v>35000</v>
      </c>
      <c r="DV11" s="235">
        <f t="shared" si="50"/>
        <v>0.97482337593032964</v>
      </c>
      <c r="DX11" s="15">
        <f t="shared" si="18"/>
        <v>35000</v>
      </c>
      <c r="EA11" s="15">
        <f t="shared" si="19"/>
        <v>35000</v>
      </c>
      <c r="ED11" s="15">
        <f t="shared" si="20"/>
        <v>35000</v>
      </c>
      <c r="EF11" s="227">
        <v>-24000</v>
      </c>
      <c r="EG11" s="15">
        <f t="shared" si="21"/>
        <v>11000</v>
      </c>
      <c r="EI11" s="15">
        <v>10190.4</v>
      </c>
      <c r="EK11" s="15">
        <v>11000</v>
      </c>
      <c r="EL11" s="235">
        <f t="shared" si="46"/>
        <v>1.0794473229706392</v>
      </c>
      <c r="EM11" s="227">
        <v>36000</v>
      </c>
      <c r="EN11" s="15">
        <f t="shared" si="22"/>
        <v>47000</v>
      </c>
      <c r="EQ11" s="15">
        <f t="shared" si="23"/>
        <v>47000</v>
      </c>
      <c r="ET11" s="15">
        <f t="shared" si="24"/>
        <v>47000</v>
      </c>
      <c r="EW11" s="15">
        <f t="shared" si="25"/>
        <v>47000</v>
      </c>
      <c r="EZ11" s="189">
        <f t="shared" si="26"/>
        <v>47000</v>
      </c>
      <c r="FB11" s="189">
        <v>5392.8</v>
      </c>
      <c r="FD11" s="15">
        <v>10000</v>
      </c>
      <c r="FE11" s="235">
        <f t="shared" si="47"/>
        <v>1.8543242842308263</v>
      </c>
    </row>
    <row r="12" spans="1:161" outlineLevel="1">
      <c r="A12" s="1" t="s">
        <v>11</v>
      </c>
      <c r="B12" s="1" t="s">
        <v>26</v>
      </c>
      <c r="C12" s="4" t="s">
        <v>27</v>
      </c>
      <c r="D12" s="8">
        <v>4000</v>
      </c>
      <c r="E12" s="28">
        <v>106.25</v>
      </c>
      <c r="F12" s="8">
        <v>4000</v>
      </c>
      <c r="G12" s="28">
        <v>106.25</v>
      </c>
      <c r="H12" s="9">
        <v>4250</v>
      </c>
      <c r="I12" s="14">
        <f t="shared" ref="I12:I21" si="51">H12</f>
        <v>4250</v>
      </c>
      <c r="J12" s="14"/>
      <c r="L12" s="118">
        <v>8000</v>
      </c>
      <c r="M12" s="17">
        <f t="shared" si="28"/>
        <v>1</v>
      </c>
      <c r="N12" s="17">
        <f t="shared" si="29"/>
        <v>0.88235294117647056</v>
      </c>
      <c r="P12" s="15">
        <f t="shared" ref="P12:P21" si="52">L12</f>
        <v>8000</v>
      </c>
      <c r="Q12" s="15">
        <f t="shared" ref="Q12:Q21" si="53">P12</f>
        <v>8000</v>
      </c>
      <c r="R12" s="15">
        <f t="shared" ref="R12:R21" si="54">L12</f>
        <v>8000</v>
      </c>
      <c r="S12" s="15">
        <f t="shared" ref="S12:S21" si="55">R12</f>
        <v>8000</v>
      </c>
      <c r="U12" s="118">
        <v>7200</v>
      </c>
      <c r="V12" s="17">
        <f t="shared" si="30"/>
        <v>-9.9999999999999978E-2</v>
      </c>
      <c r="X12" s="118">
        <f t="shared" si="31"/>
        <v>7200</v>
      </c>
      <c r="Z12" s="118">
        <v>7200</v>
      </c>
      <c r="AB12" s="187">
        <f t="shared" si="32"/>
        <v>0</v>
      </c>
      <c r="AC12" s="187"/>
      <c r="AD12" s="118">
        <v>7200</v>
      </c>
      <c r="AE12" s="187"/>
      <c r="AF12" s="182"/>
      <c r="AG12" s="187"/>
      <c r="AH12" s="118">
        <v>7200</v>
      </c>
      <c r="AI12" s="187"/>
      <c r="AJ12" s="182"/>
      <c r="AK12" s="118"/>
      <c r="AL12" s="15">
        <v>7200</v>
      </c>
      <c r="AM12" s="189"/>
      <c r="AN12" s="15">
        <v>7200</v>
      </c>
      <c r="AO12" s="17">
        <f t="shared" si="35"/>
        <v>-9.9999999999999978E-2</v>
      </c>
      <c r="AP12" s="17">
        <f t="shared" si="36"/>
        <v>0</v>
      </c>
      <c r="AQ12" s="17">
        <f t="shared" si="37"/>
        <v>0</v>
      </c>
      <c r="BA12" s="15">
        <f t="shared" si="38"/>
        <v>7200</v>
      </c>
      <c r="BD12" s="15">
        <f t="shared" si="39"/>
        <v>7200</v>
      </c>
      <c r="BG12" s="15">
        <f t="shared" si="40"/>
        <v>7200</v>
      </c>
      <c r="BI12" s="15">
        <v>300</v>
      </c>
      <c r="BJ12" s="15">
        <f t="shared" si="41"/>
        <v>7500</v>
      </c>
      <c r="BL12" s="15">
        <v>7500</v>
      </c>
      <c r="BM12" s="235">
        <f t="shared" si="42"/>
        <v>1</v>
      </c>
      <c r="BO12" s="15">
        <v>7200</v>
      </c>
      <c r="BP12" s="235">
        <f t="shared" si="48"/>
        <v>0.96</v>
      </c>
      <c r="BR12" s="15">
        <v>7500</v>
      </c>
      <c r="BS12" s="15">
        <f t="shared" si="44"/>
        <v>14700</v>
      </c>
      <c r="BU12" s="227">
        <v>-7200</v>
      </c>
      <c r="BV12" s="15">
        <f>BS12+BU12</f>
        <v>7500</v>
      </c>
      <c r="BY12" s="15">
        <f>BV12+BX12</f>
        <v>7500</v>
      </c>
      <c r="BZ12" s="145">
        <v>50</v>
      </c>
      <c r="CB12" s="15">
        <f>BY12+CA12</f>
        <v>7500</v>
      </c>
      <c r="CE12" s="15">
        <f>CB12+CD12</f>
        <v>7500</v>
      </c>
      <c r="CH12" s="15">
        <f>CE12+CG12</f>
        <v>7500</v>
      </c>
      <c r="CK12" s="15">
        <f>CH12+CJ12</f>
        <v>7500</v>
      </c>
      <c r="CN12" s="15">
        <f>CK12+CM12</f>
        <v>7500</v>
      </c>
      <c r="CP12" s="15">
        <v>7575</v>
      </c>
      <c r="CR12" s="15">
        <v>7500</v>
      </c>
      <c r="CS12" s="235">
        <f t="shared" si="49"/>
        <v>0.99009900990099009</v>
      </c>
      <c r="CV12" s="15">
        <f t="shared" si="45"/>
        <v>7500</v>
      </c>
      <c r="CY12" s="15">
        <f t="shared" si="11"/>
        <v>7500</v>
      </c>
      <c r="DB12" s="15">
        <f t="shared" si="12"/>
        <v>7500</v>
      </c>
      <c r="DE12" s="15">
        <f t="shared" si="13"/>
        <v>7500</v>
      </c>
      <c r="DH12" s="15">
        <f t="shared" si="14"/>
        <v>7500</v>
      </c>
      <c r="DK12" s="15">
        <f t="shared" si="15"/>
        <v>7500</v>
      </c>
      <c r="DN12" s="15">
        <f t="shared" si="16"/>
        <v>7500</v>
      </c>
      <c r="DQ12" s="15">
        <f t="shared" si="17"/>
        <v>7500</v>
      </c>
      <c r="DS12" s="15">
        <v>7558</v>
      </c>
      <c r="DU12" s="15">
        <v>7500</v>
      </c>
      <c r="DV12" s="235">
        <f t="shared" si="50"/>
        <v>0.99232601217253247</v>
      </c>
      <c r="DX12" s="15">
        <f t="shared" si="18"/>
        <v>7500</v>
      </c>
      <c r="EA12" s="15">
        <f t="shared" si="19"/>
        <v>7500</v>
      </c>
      <c r="ED12" s="15">
        <f t="shared" si="20"/>
        <v>7500</v>
      </c>
      <c r="EF12" s="227">
        <v>434</v>
      </c>
      <c r="EG12" s="15">
        <f t="shared" si="21"/>
        <v>7934</v>
      </c>
      <c r="EI12" s="15">
        <v>7934</v>
      </c>
      <c r="EK12" s="15">
        <v>15800</v>
      </c>
      <c r="EL12" s="235">
        <f t="shared" si="46"/>
        <v>1.9914292916561633</v>
      </c>
      <c r="EM12" s="227">
        <v>1000</v>
      </c>
      <c r="EN12" s="15">
        <f t="shared" si="22"/>
        <v>16800</v>
      </c>
      <c r="EQ12" s="15">
        <f t="shared" si="23"/>
        <v>16800</v>
      </c>
      <c r="ET12" s="15">
        <f t="shared" si="24"/>
        <v>16800</v>
      </c>
      <c r="EW12" s="15">
        <f t="shared" si="25"/>
        <v>16800</v>
      </c>
      <c r="EZ12" s="189">
        <f t="shared" si="26"/>
        <v>16800</v>
      </c>
      <c r="FB12" s="189">
        <v>16883</v>
      </c>
      <c r="FD12" s="15">
        <v>15800</v>
      </c>
      <c r="FE12" s="235">
        <f t="shared" si="47"/>
        <v>0.93585263282591957</v>
      </c>
    </row>
    <row r="13" spans="1:161" outlineLevel="1">
      <c r="A13" s="1" t="s">
        <v>11</v>
      </c>
      <c r="B13" s="1" t="s">
        <v>28</v>
      </c>
      <c r="C13" s="4" t="s">
        <v>29</v>
      </c>
      <c r="D13" s="8">
        <v>800</v>
      </c>
      <c r="E13" s="28">
        <v>12.5</v>
      </c>
      <c r="F13" s="8">
        <v>800</v>
      </c>
      <c r="G13" s="28">
        <v>12.5</v>
      </c>
      <c r="H13" s="9">
        <v>100</v>
      </c>
      <c r="I13" s="14">
        <f t="shared" si="51"/>
        <v>100</v>
      </c>
      <c r="J13" s="14"/>
      <c r="L13" s="118">
        <v>1000</v>
      </c>
      <c r="M13" s="17">
        <f t="shared" si="28"/>
        <v>0.25</v>
      </c>
      <c r="N13" s="17">
        <f t="shared" si="29"/>
        <v>9</v>
      </c>
      <c r="P13" s="15">
        <f t="shared" si="52"/>
        <v>1000</v>
      </c>
      <c r="Q13" s="15">
        <f t="shared" si="53"/>
        <v>1000</v>
      </c>
      <c r="R13" s="15">
        <f t="shared" si="54"/>
        <v>1000</v>
      </c>
      <c r="S13" s="15">
        <f t="shared" si="55"/>
        <v>1000</v>
      </c>
      <c r="U13" s="118">
        <v>15000</v>
      </c>
      <c r="V13" s="17">
        <f t="shared" si="30"/>
        <v>14</v>
      </c>
      <c r="X13" s="118">
        <f t="shared" si="31"/>
        <v>15000</v>
      </c>
      <c r="Z13" s="118">
        <v>15000</v>
      </c>
      <c r="AB13" s="187">
        <f t="shared" si="32"/>
        <v>0</v>
      </c>
      <c r="AC13" s="187"/>
      <c r="AD13" s="118">
        <v>15000</v>
      </c>
      <c r="AE13" s="187"/>
      <c r="AF13" s="182"/>
      <c r="AG13" s="187"/>
      <c r="AH13" s="118">
        <v>15000</v>
      </c>
      <c r="AI13" s="187"/>
      <c r="AJ13" s="182"/>
      <c r="AK13" s="118"/>
      <c r="AL13" s="15">
        <v>11432</v>
      </c>
      <c r="AM13" s="189"/>
      <c r="AN13" s="15">
        <v>12800</v>
      </c>
      <c r="AO13" s="17">
        <f t="shared" si="35"/>
        <v>11.8</v>
      </c>
      <c r="AP13" s="17">
        <f t="shared" si="36"/>
        <v>-0.14666666666666661</v>
      </c>
      <c r="AQ13" s="17">
        <f t="shared" si="37"/>
        <v>0.11966410076976897</v>
      </c>
      <c r="BA13" s="15">
        <f t="shared" si="38"/>
        <v>12800</v>
      </c>
      <c r="BD13" s="15">
        <f t="shared" si="39"/>
        <v>12800</v>
      </c>
      <c r="BG13" s="15">
        <f t="shared" si="40"/>
        <v>12800</v>
      </c>
      <c r="BI13" s="15">
        <v>15200</v>
      </c>
      <c r="BJ13" s="15">
        <f t="shared" si="41"/>
        <v>28000</v>
      </c>
      <c r="BL13" s="15">
        <v>24455</v>
      </c>
      <c r="BM13" s="235">
        <f t="shared" si="42"/>
        <v>0.87339285714285719</v>
      </c>
      <c r="BO13" s="15">
        <v>10000</v>
      </c>
      <c r="BP13" s="235">
        <f t="shared" si="48"/>
        <v>0.40891433244735226</v>
      </c>
      <c r="BS13" s="15">
        <f t="shared" si="44"/>
        <v>10000</v>
      </c>
      <c r="BV13" s="15">
        <f t="shared" si="4"/>
        <v>10000</v>
      </c>
      <c r="BY13" s="15">
        <f t="shared" ref="BY13:BY21" si="56">BV13+BX13</f>
        <v>10000</v>
      </c>
      <c r="BZ13" s="145"/>
      <c r="CB13" s="15">
        <f t="shared" ref="CB13:CB21" si="57">BY13+CA13</f>
        <v>10000</v>
      </c>
      <c r="CE13" s="15">
        <f t="shared" ref="CE13:CE21" si="58">CB13+CD13</f>
        <v>10000</v>
      </c>
      <c r="CH13" s="15">
        <f t="shared" ref="CH13:CH21" si="59">CE13+CG13</f>
        <v>10000</v>
      </c>
      <c r="CJ13" s="227">
        <v>-5000</v>
      </c>
      <c r="CK13" s="15">
        <f t="shared" ref="CK13:CK21" si="60">CH13+CJ13</f>
        <v>5000</v>
      </c>
      <c r="CN13" s="15">
        <f t="shared" ref="CN13:CN21" si="61">CK13+CM13</f>
        <v>5000</v>
      </c>
      <c r="CP13" s="15">
        <v>3291</v>
      </c>
      <c r="CR13" s="15">
        <v>5000</v>
      </c>
      <c r="CS13" s="235">
        <f t="shared" si="49"/>
        <v>1.5192950470981466</v>
      </c>
      <c r="CV13" s="15">
        <f t="shared" si="45"/>
        <v>5000</v>
      </c>
      <c r="CY13" s="15">
        <f t="shared" si="11"/>
        <v>5000</v>
      </c>
      <c r="DB13" s="15">
        <f t="shared" si="12"/>
        <v>5000</v>
      </c>
      <c r="DE13" s="15">
        <f t="shared" si="13"/>
        <v>5000</v>
      </c>
      <c r="DH13" s="15">
        <f t="shared" si="14"/>
        <v>5000</v>
      </c>
      <c r="DK13" s="15">
        <f t="shared" si="15"/>
        <v>5000</v>
      </c>
      <c r="DM13" s="227">
        <v>-4000</v>
      </c>
      <c r="DN13" s="15">
        <f t="shared" si="16"/>
        <v>1000</v>
      </c>
      <c r="DQ13" s="15">
        <f t="shared" si="17"/>
        <v>1000</v>
      </c>
      <c r="DS13" s="15">
        <v>618</v>
      </c>
      <c r="DU13" s="15">
        <v>5000</v>
      </c>
      <c r="DV13" s="235">
        <f t="shared" si="50"/>
        <v>8.090614886731391</v>
      </c>
      <c r="DX13" s="15">
        <f t="shared" si="18"/>
        <v>5000</v>
      </c>
      <c r="EA13" s="15">
        <f t="shared" si="19"/>
        <v>5000</v>
      </c>
      <c r="ED13" s="15">
        <f t="shared" si="20"/>
        <v>5000</v>
      </c>
      <c r="EF13" s="227">
        <v>129000</v>
      </c>
      <c r="EG13" s="15">
        <f t="shared" si="21"/>
        <v>134000</v>
      </c>
      <c r="EI13" s="15">
        <v>133657</v>
      </c>
      <c r="EK13" s="15">
        <v>5000</v>
      </c>
      <c r="EL13" s="235">
        <f t="shared" si="46"/>
        <v>3.7409189193233425E-2</v>
      </c>
      <c r="EN13" s="15">
        <f t="shared" si="22"/>
        <v>5000</v>
      </c>
      <c r="EQ13" s="15">
        <f t="shared" si="23"/>
        <v>5000</v>
      </c>
      <c r="ET13" s="15">
        <f t="shared" si="24"/>
        <v>5000</v>
      </c>
      <c r="EV13" s="227">
        <v>-3000</v>
      </c>
      <c r="EW13" s="15">
        <f t="shared" si="25"/>
        <v>2000</v>
      </c>
      <c r="EZ13" s="189">
        <f t="shared" si="26"/>
        <v>2000</v>
      </c>
      <c r="FB13" s="189">
        <v>1023</v>
      </c>
      <c r="FD13" s="15">
        <v>5000</v>
      </c>
      <c r="FE13" s="235">
        <f t="shared" si="47"/>
        <v>4.8875855327468232</v>
      </c>
    </row>
    <row r="14" spans="1:161" outlineLevel="1">
      <c r="A14" s="1" t="s">
        <v>11</v>
      </c>
      <c r="B14" s="1" t="s">
        <v>548</v>
      </c>
      <c r="C14" s="4" t="s">
        <v>549</v>
      </c>
      <c r="D14" s="8">
        <v>180000</v>
      </c>
      <c r="E14" s="28">
        <v>109.28</v>
      </c>
      <c r="F14" s="8">
        <v>192600</v>
      </c>
      <c r="G14" s="28">
        <v>102.13</v>
      </c>
      <c r="H14" s="9">
        <v>196700</v>
      </c>
      <c r="I14" s="14">
        <f>H14</f>
        <v>196700</v>
      </c>
      <c r="J14" s="14"/>
      <c r="L14" s="118">
        <v>197000</v>
      </c>
      <c r="M14" s="17">
        <f>L14/F14-1</f>
        <v>2.2845275181723856E-2</v>
      </c>
      <c r="N14" s="17">
        <f>L14/I14-1</f>
        <v>1.5251652262329163E-3</v>
      </c>
      <c r="P14" s="15">
        <f>L14</f>
        <v>197000</v>
      </c>
      <c r="Q14" s="15">
        <f>P14</f>
        <v>197000</v>
      </c>
      <c r="R14" s="15">
        <f>L14</f>
        <v>197000</v>
      </c>
      <c r="S14" s="15">
        <f>R14</f>
        <v>197000</v>
      </c>
      <c r="U14" s="118">
        <v>195000</v>
      </c>
      <c r="V14" s="17">
        <f>U14/L14-1</f>
        <v>-1.0152284263959421E-2</v>
      </c>
      <c r="X14" s="118">
        <f>U14</f>
        <v>195000</v>
      </c>
      <c r="Z14" s="118">
        <v>195000</v>
      </c>
      <c r="AB14" s="187">
        <f>Z14-X14</f>
        <v>0</v>
      </c>
      <c r="AC14" s="187"/>
      <c r="AD14" s="118">
        <v>195000</v>
      </c>
      <c r="AE14" s="187"/>
      <c r="AF14" s="182"/>
      <c r="AG14" s="187"/>
      <c r="AH14" s="118">
        <v>195000</v>
      </c>
      <c r="AI14" s="187"/>
      <c r="AJ14" s="182"/>
      <c r="AK14" s="118"/>
      <c r="AL14" s="15">
        <v>194350</v>
      </c>
      <c r="AM14" s="189"/>
      <c r="AN14" s="15">
        <f>315*600</f>
        <v>189000</v>
      </c>
      <c r="AO14" s="17">
        <f>AN14/L14-1</f>
        <v>-4.0609137055837574E-2</v>
      </c>
      <c r="AP14" s="17">
        <f>AN14/AH14-1</f>
        <v>-3.0769230769230771E-2</v>
      </c>
      <c r="AQ14" s="17">
        <f>AN14/AL14-1</f>
        <v>-2.7527656290198044E-2</v>
      </c>
      <c r="BA14" s="15">
        <f>AN14+AZ14</f>
        <v>189000</v>
      </c>
      <c r="BD14" s="15">
        <f>BA14</f>
        <v>189000</v>
      </c>
      <c r="BG14" s="15">
        <f>BD14</f>
        <v>189000</v>
      </c>
      <c r="BI14" s="15">
        <v>2000</v>
      </c>
      <c r="BJ14" s="15">
        <f>BG14+BI14</f>
        <v>191000</v>
      </c>
      <c r="BL14" s="15">
        <v>191100</v>
      </c>
      <c r="BM14" s="235">
        <f>BL14/BJ14</f>
        <v>1.000523560209424</v>
      </c>
      <c r="BO14" s="15">
        <v>216500</v>
      </c>
      <c r="BP14" s="235">
        <f>BO14/BL14</f>
        <v>1.1329147043432757</v>
      </c>
      <c r="BS14" s="15">
        <f>BO14+BR14</f>
        <v>216500</v>
      </c>
      <c r="BU14" s="227">
        <v>-6500</v>
      </c>
      <c r="BV14" s="15">
        <f>BS14+BU14</f>
        <v>210000</v>
      </c>
      <c r="BY14" s="15">
        <f>BV14+BX14</f>
        <v>210000</v>
      </c>
      <c r="BZ14" s="145">
        <v>455</v>
      </c>
      <c r="CB14" s="15">
        <f>BY14+CA14</f>
        <v>210000</v>
      </c>
      <c r="CE14" s="15">
        <f t="shared" ref="CE14" si="62">CB14+CD14</f>
        <v>210000</v>
      </c>
      <c r="CH14" s="15">
        <f t="shared" ref="CH14" si="63">CE14+CG14</f>
        <v>210000</v>
      </c>
      <c r="CK14" s="15">
        <f t="shared" ref="CK14" si="64">CH14+CJ14</f>
        <v>210000</v>
      </c>
      <c r="CN14" s="15">
        <f t="shared" ref="CN14" si="65">CK14+CM14</f>
        <v>210000</v>
      </c>
      <c r="CP14" s="15">
        <v>210840</v>
      </c>
      <c r="CR14" s="15">
        <f>333*800</f>
        <v>266400</v>
      </c>
      <c r="CS14" s="235">
        <f t="shared" si="49"/>
        <v>1.2635173591348889</v>
      </c>
      <c r="CV14" s="15">
        <f t="shared" si="45"/>
        <v>266400</v>
      </c>
      <c r="CY14" s="15">
        <f t="shared" si="11"/>
        <v>266400</v>
      </c>
      <c r="DB14" s="15">
        <f t="shared" si="12"/>
        <v>266400</v>
      </c>
      <c r="DD14" s="227">
        <v>4000</v>
      </c>
      <c r="DE14" s="15">
        <f t="shared" si="13"/>
        <v>270400</v>
      </c>
      <c r="DH14" s="15">
        <f t="shared" si="14"/>
        <v>270400</v>
      </c>
      <c r="DK14" s="15">
        <f t="shared" si="15"/>
        <v>270400</v>
      </c>
      <c r="DN14" s="15">
        <f t="shared" si="16"/>
        <v>270400</v>
      </c>
      <c r="DQ14" s="15">
        <f t="shared" si="17"/>
        <v>270400</v>
      </c>
      <c r="DS14" s="15">
        <v>270738</v>
      </c>
      <c r="DU14" s="15">
        <f>335*900</f>
        <v>301500</v>
      </c>
      <c r="DV14" s="235">
        <f t="shared" si="50"/>
        <v>1.1136227644438534</v>
      </c>
      <c r="DX14" s="15">
        <f t="shared" si="18"/>
        <v>301500</v>
      </c>
      <c r="DZ14" s="227">
        <v>4500</v>
      </c>
      <c r="EA14" s="15">
        <f t="shared" si="19"/>
        <v>306000</v>
      </c>
      <c r="ED14" s="15">
        <f t="shared" si="20"/>
        <v>306000</v>
      </c>
      <c r="EG14" s="15">
        <f t="shared" si="21"/>
        <v>306000</v>
      </c>
      <c r="EI14" s="15">
        <v>307942</v>
      </c>
      <c r="EK14" s="15">
        <v>297000</v>
      </c>
      <c r="EL14" s="235">
        <f t="shared" si="46"/>
        <v>0.96446733475784396</v>
      </c>
      <c r="EM14" s="227">
        <v>5000</v>
      </c>
      <c r="EN14" s="15">
        <f t="shared" si="22"/>
        <v>302000</v>
      </c>
      <c r="EQ14" s="15">
        <f t="shared" si="23"/>
        <v>302000</v>
      </c>
      <c r="ET14" s="15">
        <f t="shared" si="24"/>
        <v>302000</v>
      </c>
      <c r="EW14" s="15">
        <f t="shared" si="25"/>
        <v>302000</v>
      </c>
      <c r="EZ14" s="189">
        <f t="shared" si="26"/>
        <v>302000</v>
      </c>
      <c r="FB14" s="189">
        <v>301867</v>
      </c>
      <c r="FD14" s="15">
        <v>0</v>
      </c>
      <c r="FE14" s="235">
        <f>FD14/FB14</f>
        <v>0</v>
      </c>
    </row>
    <row r="15" spans="1:161" outlineLevel="1">
      <c r="A15" s="1" t="s">
        <v>11</v>
      </c>
      <c r="B15" s="1" t="s">
        <v>30</v>
      </c>
      <c r="C15" s="4" t="s">
        <v>31</v>
      </c>
      <c r="D15" s="8">
        <v>1000</v>
      </c>
      <c r="E15" s="28">
        <v>167</v>
      </c>
      <c r="F15" s="8">
        <v>1000</v>
      </c>
      <c r="G15" s="28">
        <v>167</v>
      </c>
      <c r="H15" s="9">
        <v>1670</v>
      </c>
      <c r="I15" s="14">
        <f t="shared" si="51"/>
        <v>1670</v>
      </c>
      <c r="J15" s="14"/>
      <c r="L15" s="118">
        <v>2000</v>
      </c>
      <c r="M15" s="17">
        <f t="shared" si="28"/>
        <v>1</v>
      </c>
      <c r="N15" s="17">
        <f t="shared" si="29"/>
        <v>0.19760479041916157</v>
      </c>
      <c r="P15" s="15">
        <f t="shared" si="52"/>
        <v>2000</v>
      </c>
      <c r="Q15" s="15">
        <f t="shared" si="53"/>
        <v>2000</v>
      </c>
      <c r="R15" s="15">
        <f t="shared" si="54"/>
        <v>2000</v>
      </c>
      <c r="S15" s="15">
        <f t="shared" si="55"/>
        <v>2000</v>
      </c>
      <c r="U15" s="118">
        <v>1000</v>
      </c>
      <c r="V15" s="17">
        <f t="shared" si="30"/>
        <v>-0.5</v>
      </c>
      <c r="X15" s="118">
        <f t="shared" si="31"/>
        <v>1000</v>
      </c>
      <c r="Z15" s="118">
        <v>1500</v>
      </c>
      <c r="AB15" s="187">
        <f t="shared" si="32"/>
        <v>500</v>
      </c>
      <c r="AC15" s="187"/>
      <c r="AD15" s="118">
        <v>1500</v>
      </c>
      <c r="AE15" s="187"/>
      <c r="AF15" s="182">
        <f t="shared" si="33"/>
        <v>0</v>
      </c>
      <c r="AG15" s="187"/>
      <c r="AH15" s="118">
        <v>1800</v>
      </c>
      <c r="AI15" s="187"/>
      <c r="AJ15" s="182">
        <f t="shared" ref="AJ15:AJ21" si="66">AH15-AD15</f>
        <v>300</v>
      </c>
      <c r="AK15" s="118"/>
      <c r="AL15" s="15">
        <v>1720</v>
      </c>
      <c r="AM15" s="189"/>
      <c r="AN15" s="15">
        <v>3000</v>
      </c>
      <c r="AO15" s="17">
        <f t="shared" si="35"/>
        <v>0.5</v>
      </c>
      <c r="AP15" s="17">
        <f t="shared" si="36"/>
        <v>0.66666666666666674</v>
      </c>
      <c r="AQ15" s="17">
        <f t="shared" si="37"/>
        <v>0.7441860465116279</v>
      </c>
      <c r="BA15" s="15">
        <f t="shared" si="38"/>
        <v>3000</v>
      </c>
      <c r="BD15" s="15">
        <f t="shared" si="39"/>
        <v>3000</v>
      </c>
      <c r="BG15" s="15">
        <f t="shared" si="40"/>
        <v>3000</v>
      </c>
      <c r="BI15" s="15">
        <v>500</v>
      </c>
      <c r="BJ15" s="15">
        <f t="shared" si="41"/>
        <v>3500</v>
      </c>
      <c r="BL15" s="15">
        <v>3250</v>
      </c>
      <c r="BM15" s="235">
        <f t="shared" si="42"/>
        <v>0.9285714285714286</v>
      </c>
      <c r="BO15" s="15">
        <v>3000</v>
      </c>
      <c r="BP15" s="235">
        <f t="shared" si="48"/>
        <v>0.92307692307692313</v>
      </c>
      <c r="BS15" s="15">
        <f t="shared" si="44"/>
        <v>3000</v>
      </c>
      <c r="BU15" s="227">
        <v>2000</v>
      </c>
      <c r="BV15" s="15">
        <f t="shared" si="4"/>
        <v>5000</v>
      </c>
      <c r="BY15" s="15">
        <f t="shared" si="56"/>
        <v>5000</v>
      </c>
      <c r="BZ15" s="145"/>
      <c r="CB15" s="15">
        <f t="shared" si="57"/>
        <v>5000</v>
      </c>
      <c r="CE15" s="15">
        <f t="shared" si="58"/>
        <v>5000</v>
      </c>
      <c r="CH15" s="15">
        <f t="shared" si="59"/>
        <v>5000</v>
      </c>
      <c r="CJ15" s="227">
        <v>-2000</v>
      </c>
      <c r="CK15" s="15">
        <f t="shared" si="60"/>
        <v>3000</v>
      </c>
      <c r="CN15" s="15">
        <f t="shared" si="61"/>
        <v>3000</v>
      </c>
      <c r="CP15" s="15">
        <v>2330</v>
      </c>
      <c r="CR15" s="15">
        <v>2500</v>
      </c>
      <c r="CS15" s="235">
        <f t="shared" si="49"/>
        <v>1.0729613733905579</v>
      </c>
      <c r="CV15" s="15">
        <f t="shared" si="45"/>
        <v>2500</v>
      </c>
      <c r="CY15" s="15">
        <f t="shared" si="11"/>
        <v>2500</v>
      </c>
      <c r="DB15" s="15">
        <f t="shared" si="12"/>
        <v>2500</v>
      </c>
      <c r="DE15" s="15">
        <f t="shared" si="13"/>
        <v>2500</v>
      </c>
      <c r="DH15" s="15">
        <f t="shared" si="14"/>
        <v>2500</v>
      </c>
      <c r="DK15" s="15">
        <f t="shared" si="15"/>
        <v>2500</v>
      </c>
      <c r="DM15" s="227">
        <v>500</v>
      </c>
      <c r="DN15" s="15">
        <f t="shared" si="16"/>
        <v>3000</v>
      </c>
      <c r="DQ15" s="15">
        <f t="shared" si="17"/>
        <v>3000</v>
      </c>
      <c r="DS15" s="15">
        <v>1840</v>
      </c>
      <c r="DU15" s="15">
        <v>2000</v>
      </c>
      <c r="DV15" s="235">
        <f t="shared" si="50"/>
        <v>1.0869565217391304</v>
      </c>
      <c r="DX15" s="15">
        <f t="shared" si="18"/>
        <v>2000</v>
      </c>
      <c r="EA15" s="15">
        <f t="shared" si="19"/>
        <v>2000</v>
      </c>
      <c r="ED15" s="15">
        <f t="shared" si="20"/>
        <v>2000</v>
      </c>
      <c r="EF15" s="227">
        <v>1100</v>
      </c>
      <c r="EG15" s="15">
        <f t="shared" si="21"/>
        <v>3100</v>
      </c>
      <c r="EI15" s="15">
        <v>3490</v>
      </c>
      <c r="EK15" s="15">
        <v>3000</v>
      </c>
      <c r="EL15" s="235">
        <f t="shared" si="46"/>
        <v>0.85959885386819479</v>
      </c>
      <c r="EN15" s="15">
        <f t="shared" si="22"/>
        <v>3000</v>
      </c>
      <c r="EQ15" s="15">
        <f t="shared" si="23"/>
        <v>3000</v>
      </c>
      <c r="ET15" s="15">
        <f t="shared" si="24"/>
        <v>3000</v>
      </c>
      <c r="EW15" s="15">
        <f t="shared" si="25"/>
        <v>3000</v>
      </c>
      <c r="EZ15" s="189">
        <f t="shared" si="26"/>
        <v>3000</v>
      </c>
      <c r="FB15" s="189">
        <v>2040</v>
      </c>
      <c r="FD15" s="15">
        <v>3000</v>
      </c>
      <c r="FE15" s="235">
        <f t="shared" si="47"/>
        <v>1.4705882352941178</v>
      </c>
    </row>
    <row r="16" spans="1:161" outlineLevel="1">
      <c r="A16" s="1" t="s">
        <v>11</v>
      </c>
      <c r="B16" s="1" t="s">
        <v>32</v>
      </c>
      <c r="C16" s="4" t="s">
        <v>33</v>
      </c>
      <c r="D16" s="8">
        <v>23500</v>
      </c>
      <c r="E16" s="28">
        <v>306.37</v>
      </c>
      <c r="F16" s="8">
        <v>23500</v>
      </c>
      <c r="G16" s="28">
        <v>306.37</v>
      </c>
      <c r="H16" s="9">
        <v>71996.19</v>
      </c>
      <c r="I16" s="14">
        <f>H16</f>
        <v>71996.19</v>
      </c>
      <c r="J16" s="14"/>
      <c r="L16" s="158">
        <v>72000</v>
      </c>
      <c r="M16" s="17">
        <f t="shared" si="28"/>
        <v>2.0638297872340425</v>
      </c>
      <c r="N16" s="17">
        <f t="shared" si="29"/>
        <v>5.291946698848804E-5</v>
      </c>
      <c r="P16" s="15">
        <f t="shared" si="52"/>
        <v>72000</v>
      </c>
      <c r="Q16" s="15">
        <f t="shared" si="53"/>
        <v>72000</v>
      </c>
      <c r="R16" s="15">
        <f t="shared" si="54"/>
        <v>72000</v>
      </c>
      <c r="S16" s="15">
        <f t="shared" si="55"/>
        <v>72000</v>
      </c>
      <c r="U16" s="118">
        <v>30000</v>
      </c>
      <c r="V16" s="17">
        <f t="shared" si="30"/>
        <v>-0.58333333333333326</v>
      </c>
      <c r="X16" s="118">
        <f t="shared" si="31"/>
        <v>30000</v>
      </c>
      <c r="Z16" s="118">
        <v>25000</v>
      </c>
      <c r="AB16" s="187">
        <f t="shared" si="32"/>
        <v>-5000</v>
      </c>
      <c r="AC16" s="187"/>
      <c r="AD16" s="118">
        <v>25000</v>
      </c>
      <c r="AE16" s="187"/>
      <c r="AF16" s="182">
        <f t="shared" si="33"/>
        <v>0</v>
      </c>
      <c r="AG16" s="187"/>
      <c r="AH16" s="118">
        <v>29500</v>
      </c>
      <c r="AI16" s="187"/>
      <c r="AJ16" s="182">
        <f t="shared" si="66"/>
        <v>4500</v>
      </c>
      <c r="AK16" s="118"/>
      <c r="AL16" s="15">
        <v>29380.38</v>
      </c>
      <c r="AM16" s="189"/>
      <c r="AN16" s="227">
        <v>30000</v>
      </c>
      <c r="AO16" s="17">
        <f t="shared" si="35"/>
        <v>-0.58333333333333326</v>
      </c>
      <c r="AP16" s="17">
        <f t="shared" si="36"/>
        <v>1.6949152542372836E-2</v>
      </c>
      <c r="AQ16" s="17">
        <f t="shared" si="37"/>
        <v>2.1089584273586537E-2</v>
      </c>
      <c r="BA16" s="15">
        <f t="shared" si="38"/>
        <v>30000</v>
      </c>
      <c r="BD16" s="15">
        <f t="shared" si="39"/>
        <v>30000</v>
      </c>
      <c r="BG16" s="15">
        <f t="shared" si="40"/>
        <v>30000</v>
      </c>
      <c r="BI16" s="15">
        <v>5000</v>
      </c>
      <c r="BJ16" s="15">
        <f t="shared" si="41"/>
        <v>35000</v>
      </c>
      <c r="BL16" s="15">
        <v>36417</v>
      </c>
      <c r="BM16" s="235">
        <f t="shared" si="42"/>
        <v>1.0404857142857142</v>
      </c>
      <c r="BO16" s="15">
        <v>38000</v>
      </c>
      <c r="BP16" s="235">
        <f t="shared" si="48"/>
        <v>1.0434687096685613</v>
      </c>
      <c r="BS16" s="15">
        <f t="shared" si="44"/>
        <v>38000</v>
      </c>
      <c r="BV16" s="15">
        <f t="shared" si="4"/>
        <v>38000</v>
      </c>
      <c r="BY16" s="15">
        <f t="shared" si="56"/>
        <v>38000</v>
      </c>
      <c r="BZ16" s="145"/>
      <c r="CB16" s="15">
        <f t="shared" si="57"/>
        <v>38000</v>
      </c>
      <c r="CD16" s="227">
        <v>3000</v>
      </c>
      <c r="CE16" s="15">
        <f t="shared" si="58"/>
        <v>41000</v>
      </c>
      <c r="CH16" s="15">
        <f t="shared" si="59"/>
        <v>41000</v>
      </c>
      <c r="CK16" s="15">
        <f t="shared" si="60"/>
        <v>41000</v>
      </c>
      <c r="CN16" s="15">
        <f t="shared" si="61"/>
        <v>41000</v>
      </c>
      <c r="CP16" s="15">
        <v>39911.33</v>
      </c>
      <c r="CR16" s="15">
        <v>40000</v>
      </c>
      <c r="CS16" s="235">
        <f t="shared" si="49"/>
        <v>1.0022216748978297</v>
      </c>
      <c r="CV16" s="15">
        <f t="shared" si="45"/>
        <v>40000</v>
      </c>
      <c r="CW16" t="s">
        <v>463</v>
      </c>
      <c r="CY16" s="15">
        <f t="shared" si="11"/>
        <v>40000</v>
      </c>
      <c r="DB16" s="15">
        <f t="shared" si="12"/>
        <v>40000</v>
      </c>
      <c r="DE16" s="15">
        <f t="shared" si="13"/>
        <v>40000</v>
      </c>
      <c r="DH16" s="15">
        <f t="shared" si="14"/>
        <v>40000</v>
      </c>
      <c r="DK16" s="15">
        <f t="shared" si="15"/>
        <v>40000</v>
      </c>
      <c r="DM16" s="227">
        <v>3000</v>
      </c>
      <c r="DN16" s="15">
        <f t="shared" si="16"/>
        <v>43000</v>
      </c>
      <c r="DQ16" s="15">
        <f t="shared" si="17"/>
        <v>43000</v>
      </c>
      <c r="DS16" s="15">
        <v>40460.93</v>
      </c>
      <c r="DU16" s="15">
        <v>60000</v>
      </c>
      <c r="DV16" s="235">
        <f t="shared" si="50"/>
        <v>1.4829120339053008</v>
      </c>
      <c r="DX16" s="15">
        <f t="shared" si="18"/>
        <v>60000</v>
      </c>
      <c r="EA16" s="15">
        <f t="shared" si="19"/>
        <v>60000</v>
      </c>
      <c r="ED16" s="15">
        <f t="shared" si="20"/>
        <v>60000</v>
      </c>
      <c r="EF16" s="227">
        <v>-46000</v>
      </c>
      <c r="EG16" s="15">
        <f t="shared" si="21"/>
        <v>14000</v>
      </c>
      <c r="EI16" s="15">
        <v>11781.64</v>
      </c>
      <c r="EK16" s="15">
        <v>13000</v>
      </c>
      <c r="EL16" s="235">
        <f t="shared" si="46"/>
        <v>1.1034117491283049</v>
      </c>
      <c r="EM16" s="227">
        <v>-13000</v>
      </c>
      <c r="EN16" s="15">
        <f t="shared" si="22"/>
        <v>0</v>
      </c>
      <c r="EQ16" s="15">
        <f t="shared" si="23"/>
        <v>0</v>
      </c>
      <c r="ET16" s="15">
        <f t="shared" si="24"/>
        <v>0</v>
      </c>
      <c r="EW16" s="15">
        <f t="shared" si="25"/>
        <v>0</v>
      </c>
      <c r="EZ16" s="189">
        <f t="shared" si="26"/>
        <v>0</v>
      </c>
      <c r="FB16" s="189">
        <v>447.45</v>
      </c>
      <c r="FD16" s="15">
        <v>0</v>
      </c>
      <c r="FE16" s="235">
        <f t="shared" si="47"/>
        <v>0</v>
      </c>
    </row>
    <row r="17" spans="1:163" outlineLevel="1">
      <c r="A17" s="1" t="s">
        <v>11</v>
      </c>
      <c r="B17" s="1" t="s">
        <v>575</v>
      </c>
      <c r="C17" s="4" t="s">
        <v>576</v>
      </c>
      <c r="D17" s="8"/>
      <c r="E17" s="28"/>
      <c r="F17" s="8"/>
      <c r="G17" s="28"/>
      <c r="H17" s="9"/>
      <c r="I17" s="14"/>
      <c r="J17" s="14"/>
      <c r="L17" s="158"/>
      <c r="M17" s="17"/>
      <c r="N17" s="17"/>
      <c r="P17" s="15"/>
      <c r="Q17" s="15"/>
      <c r="R17" s="15"/>
      <c r="S17" s="15"/>
      <c r="V17" s="17"/>
      <c r="X17" s="118"/>
      <c r="AB17" s="187"/>
      <c r="AC17" s="187"/>
      <c r="AE17" s="187"/>
      <c r="AF17" s="182"/>
      <c r="AG17" s="187"/>
      <c r="AI17" s="187"/>
      <c r="AJ17" s="182"/>
      <c r="AK17" s="118"/>
      <c r="AM17" s="189"/>
      <c r="AN17" s="227"/>
      <c r="AO17" s="17"/>
      <c r="AP17" s="17"/>
      <c r="AQ17" s="17"/>
      <c r="BA17" s="15"/>
      <c r="BD17" s="15"/>
      <c r="BG17" s="15"/>
      <c r="BJ17" s="15"/>
      <c r="BM17" s="235"/>
      <c r="BP17" s="235"/>
      <c r="BS17" s="15"/>
      <c r="BV17" s="15"/>
      <c r="BY17" s="15"/>
      <c r="BZ17" s="145"/>
      <c r="CB17" s="15"/>
      <c r="CD17" s="227"/>
      <c r="CE17" s="15"/>
      <c r="CH17" s="15"/>
      <c r="CK17" s="15"/>
      <c r="CN17" s="15">
        <v>0</v>
      </c>
      <c r="CP17" s="15">
        <v>28.83</v>
      </c>
      <c r="CS17" s="235"/>
      <c r="CV17" s="15">
        <f t="shared" si="45"/>
        <v>0</v>
      </c>
      <c r="CY17" s="15">
        <f t="shared" si="11"/>
        <v>0</v>
      </c>
      <c r="DB17" s="15">
        <f t="shared" si="12"/>
        <v>0</v>
      </c>
      <c r="DE17" s="15">
        <f t="shared" si="13"/>
        <v>0</v>
      </c>
      <c r="DH17" s="15">
        <f t="shared" si="14"/>
        <v>0</v>
      </c>
      <c r="DK17" s="15">
        <f t="shared" si="15"/>
        <v>0</v>
      </c>
      <c r="DN17" s="15">
        <f t="shared" si="16"/>
        <v>0</v>
      </c>
      <c r="DQ17" s="15">
        <f t="shared" si="17"/>
        <v>0</v>
      </c>
      <c r="DS17" s="15">
        <v>0.49</v>
      </c>
      <c r="DU17" s="15">
        <v>0</v>
      </c>
      <c r="DV17" s="235"/>
      <c r="DX17" s="15">
        <f t="shared" si="18"/>
        <v>0</v>
      </c>
      <c r="EA17" s="15">
        <f t="shared" si="19"/>
        <v>0</v>
      </c>
      <c r="ED17" s="15">
        <f t="shared" si="20"/>
        <v>0</v>
      </c>
      <c r="EG17" s="15">
        <f t="shared" si="21"/>
        <v>0</v>
      </c>
      <c r="EL17" s="235" t="e">
        <f t="shared" si="46"/>
        <v>#DIV/0!</v>
      </c>
      <c r="EN17" s="15">
        <f t="shared" si="22"/>
        <v>0</v>
      </c>
      <c r="EQ17" s="15">
        <f t="shared" si="23"/>
        <v>0</v>
      </c>
      <c r="ET17" s="15">
        <f t="shared" si="24"/>
        <v>0</v>
      </c>
      <c r="EW17" s="15">
        <f t="shared" si="25"/>
        <v>0</v>
      </c>
      <c r="EZ17" s="189">
        <f t="shared" si="26"/>
        <v>0</v>
      </c>
      <c r="FD17" s="15">
        <v>0</v>
      </c>
      <c r="FE17" s="235" t="e">
        <f t="shared" si="47"/>
        <v>#DIV/0!</v>
      </c>
    </row>
    <row r="18" spans="1:163" outlineLevel="1">
      <c r="A18" s="1" t="s">
        <v>447</v>
      </c>
      <c r="B18" s="1" t="s">
        <v>443</v>
      </c>
      <c r="C18" s="4" t="s">
        <v>444</v>
      </c>
      <c r="D18" s="8"/>
      <c r="E18" s="28"/>
      <c r="F18" s="8"/>
      <c r="G18" s="28"/>
      <c r="H18" s="9"/>
      <c r="I18" s="14"/>
      <c r="J18" s="14"/>
      <c r="L18" s="158"/>
      <c r="M18" s="17"/>
      <c r="N18" s="17"/>
      <c r="P18" s="15"/>
      <c r="Q18" s="15"/>
      <c r="R18" s="15"/>
      <c r="S18" s="15"/>
      <c r="V18" s="17"/>
      <c r="X18" s="118"/>
      <c r="AB18" s="187"/>
      <c r="AC18" s="187"/>
      <c r="AE18" s="187"/>
      <c r="AF18" s="182"/>
      <c r="AG18" s="187"/>
      <c r="AI18" s="187"/>
      <c r="AJ18" s="182"/>
      <c r="AK18" s="118"/>
      <c r="AL18" s="15">
        <v>7.86</v>
      </c>
      <c r="AM18" s="189"/>
      <c r="AN18" s="227">
        <v>0</v>
      </c>
      <c r="AO18" s="17"/>
      <c r="AP18" s="17"/>
      <c r="AQ18" s="17">
        <f t="shared" si="37"/>
        <v>-1</v>
      </c>
      <c r="BA18" s="15">
        <f t="shared" si="38"/>
        <v>0</v>
      </c>
      <c r="BD18" s="15">
        <f t="shared" si="39"/>
        <v>0</v>
      </c>
      <c r="BG18" s="15">
        <f t="shared" si="40"/>
        <v>0</v>
      </c>
      <c r="BJ18" s="15">
        <f t="shared" si="41"/>
        <v>0</v>
      </c>
      <c r="BM18" s="235"/>
      <c r="BS18" s="15">
        <f t="shared" si="44"/>
        <v>0</v>
      </c>
      <c r="BV18" s="15">
        <f t="shared" si="4"/>
        <v>0</v>
      </c>
      <c r="BY18" s="15">
        <f t="shared" si="56"/>
        <v>0</v>
      </c>
      <c r="BZ18" s="145"/>
      <c r="CB18" s="15">
        <f t="shared" si="57"/>
        <v>0</v>
      </c>
      <c r="CE18" s="15">
        <f t="shared" si="58"/>
        <v>0</v>
      </c>
      <c r="CH18" s="15">
        <f t="shared" si="59"/>
        <v>0</v>
      </c>
      <c r="CK18" s="15">
        <f t="shared" si="60"/>
        <v>0</v>
      </c>
      <c r="CN18" s="15">
        <f t="shared" si="61"/>
        <v>0</v>
      </c>
      <c r="CV18" s="15">
        <f t="shared" si="45"/>
        <v>0</v>
      </c>
      <c r="CY18" s="15">
        <f t="shared" si="11"/>
        <v>0</v>
      </c>
      <c r="DB18" s="15">
        <f t="shared" si="12"/>
        <v>0</v>
      </c>
      <c r="DE18" s="15">
        <f t="shared" si="13"/>
        <v>0</v>
      </c>
      <c r="DH18" s="15">
        <f t="shared" si="14"/>
        <v>0</v>
      </c>
      <c r="DK18" s="15">
        <f t="shared" si="15"/>
        <v>0</v>
      </c>
      <c r="DN18" s="15">
        <f t="shared" si="16"/>
        <v>0</v>
      </c>
      <c r="DQ18" s="15">
        <f t="shared" si="17"/>
        <v>0</v>
      </c>
      <c r="DS18" s="15">
        <v>0</v>
      </c>
      <c r="DU18" s="15">
        <v>0</v>
      </c>
      <c r="DV18" s="31"/>
      <c r="DX18" s="15">
        <f t="shared" si="18"/>
        <v>0</v>
      </c>
      <c r="EA18" s="15">
        <f t="shared" si="19"/>
        <v>0</v>
      </c>
      <c r="ED18" s="15">
        <f t="shared" si="20"/>
        <v>0</v>
      </c>
      <c r="EG18" s="15">
        <f t="shared" si="21"/>
        <v>0</v>
      </c>
      <c r="EL18" s="235" t="e">
        <f t="shared" si="46"/>
        <v>#DIV/0!</v>
      </c>
      <c r="EN18" s="15">
        <f t="shared" si="22"/>
        <v>0</v>
      </c>
      <c r="EQ18" s="15">
        <f t="shared" si="23"/>
        <v>0</v>
      </c>
      <c r="ET18" s="15">
        <f t="shared" si="24"/>
        <v>0</v>
      </c>
      <c r="EW18" s="15">
        <f t="shared" si="25"/>
        <v>0</v>
      </c>
      <c r="EZ18" s="189">
        <f t="shared" si="26"/>
        <v>0</v>
      </c>
      <c r="FD18" s="15">
        <v>0</v>
      </c>
      <c r="FE18" s="235" t="e">
        <f t="shared" si="47"/>
        <v>#DIV/0!</v>
      </c>
    </row>
    <row r="19" spans="1:163" outlineLevel="1">
      <c r="A19" s="1" t="s">
        <v>678</v>
      </c>
      <c r="B19" s="1" t="s">
        <v>680</v>
      </c>
      <c r="C19" s="4" t="s">
        <v>681</v>
      </c>
      <c r="D19" s="14"/>
      <c r="E19" s="175"/>
      <c r="F19" s="14"/>
      <c r="G19" s="175"/>
      <c r="H19" s="14"/>
      <c r="I19" s="14"/>
      <c r="J19" s="14"/>
      <c r="L19" s="158"/>
      <c r="M19" s="17"/>
      <c r="N19" s="17"/>
      <c r="P19" s="15"/>
      <c r="Q19" s="15"/>
      <c r="R19" s="15"/>
      <c r="S19" s="15"/>
      <c r="V19" s="17"/>
      <c r="X19" s="118"/>
      <c r="AB19" s="187"/>
      <c r="AC19" s="187"/>
      <c r="AE19" s="187"/>
      <c r="AF19" s="182"/>
      <c r="AG19" s="187"/>
      <c r="AI19" s="187"/>
      <c r="AJ19" s="182"/>
      <c r="AK19" s="118"/>
      <c r="AM19" s="189"/>
      <c r="AN19" s="227"/>
      <c r="AO19" s="17"/>
      <c r="AP19" s="17"/>
      <c r="AQ19" s="17"/>
      <c r="BA19" s="15"/>
      <c r="BD19" s="15"/>
      <c r="BG19" s="15"/>
      <c r="BJ19" s="15"/>
      <c r="BM19" s="235"/>
      <c r="BS19" s="15"/>
      <c r="BV19" s="15"/>
      <c r="BY19" s="15"/>
      <c r="BZ19" s="145"/>
      <c r="CB19" s="15"/>
      <c r="CE19" s="15"/>
      <c r="CH19" s="15"/>
      <c r="CK19" s="15"/>
      <c r="CN19" s="15"/>
      <c r="CV19" s="15"/>
      <c r="CY19" s="15"/>
      <c r="DB19" s="15"/>
      <c r="DE19" s="15"/>
      <c r="DH19" s="15"/>
      <c r="DK19" s="15"/>
      <c r="DN19" s="15"/>
      <c r="DQ19" s="15"/>
      <c r="DV19" s="31"/>
      <c r="DX19" s="15"/>
      <c r="EA19" s="15"/>
      <c r="ED19" s="15"/>
      <c r="EF19" s="227">
        <v>26000</v>
      </c>
      <c r="EG19" s="15">
        <f t="shared" si="21"/>
        <v>26000</v>
      </c>
      <c r="EI19" s="15">
        <v>33285.21</v>
      </c>
      <c r="EK19" s="15">
        <v>34000</v>
      </c>
      <c r="EL19" s="235">
        <f t="shared" si="46"/>
        <v>1.0214747030287628</v>
      </c>
      <c r="EM19" s="227">
        <v>13000</v>
      </c>
      <c r="EN19" s="15">
        <f t="shared" si="22"/>
        <v>47000</v>
      </c>
      <c r="EQ19" s="15">
        <f t="shared" si="23"/>
        <v>47000</v>
      </c>
      <c r="ET19" s="15">
        <f t="shared" si="24"/>
        <v>47000</v>
      </c>
      <c r="EV19" s="227">
        <v>8000</v>
      </c>
      <c r="EW19" s="15">
        <f t="shared" si="25"/>
        <v>55000</v>
      </c>
      <c r="EZ19" s="189">
        <f t="shared" si="26"/>
        <v>55000</v>
      </c>
      <c r="FB19" s="189">
        <v>58107.8</v>
      </c>
      <c r="FD19" s="15">
        <v>52000</v>
      </c>
      <c r="FE19" s="235">
        <f t="shared" si="47"/>
        <v>0.89488846592023785</v>
      </c>
    </row>
    <row r="20" spans="1:163" outlineLevel="1">
      <c r="A20" s="1" t="s">
        <v>679</v>
      </c>
      <c r="B20" s="1" t="s">
        <v>682</v>
      </c>
      <c r="C20" s="4" t="s">
        <v>683</v>
      </c>
      <c r="D20" s="14"/>
      <c r="E20" s="175"/>
      <c r="F20" s="14"/>
      <c r="G20" s="175"/>
      <c r="H20" s="14"/>
      <c r="I20" s="14"/>
      <c r="J20" s="14"/>
      <c r="L20" s="158"/>
      <c r="M20" s="17"/>
      <c r="N20" s="17"/>
      <c r="P20" s="15"/>
      <c r="Q20" s="15"/>
      <c r="R20" s="15"/>
      <c r="S20" s="15"/>
      <c r="V20" s="17"/>
      <c r="X20" s="118"/>
      <c r="AB20" s="187"/>
      <c r="AC20" s="187"/>
      <c r="AE20" s="187"/>
      <c r="AF20" s="182"/>
      <c r="AG20" s="187"/>
      <c r="AI20" s="187"/>
      <c r="AJ20" s="182"/>
      <c r="AK20" s="118"/>
      <c r="AM20" s="189"/>
      <c r="AN20" s="227"/>
      <c r="AO20" s="17"/>
      <c r="AP20" s="17"/>
      <c r="AQ20" s="17"/>
      <c r="BA20" s="15"/>
      <c r="BD20" s="15"/>
      <c r="BG20" s="15"/>
      <c r="BJ20" s="15"/>
      <c r="BM20" s="235"/>
      <c r="BS20" s="15"/>
      <c r="BV20" s="15"/>
      <c r="BY20" s="15"/>
      <c r="BZ20" s="145"/>
      <c r="CB20" s="15"/>
      <c r="CE20" s="15"/>
      <c r="CH20" s="15"/>
      <c r="CK20" s="15"/>
      <c r="CN20" s="15"/>
      <c r="CV20" s="15"/>
      <c r="CY20" s="15"/>
      <c r="DB20" s="15"/>
      <c r="DE20" s="15"/>
      <c r="DH20" s="15"/>
      <c r="DK20" s="15"/>
      <c r="DN20" s="15"/>
      <c r="DQ20" s="15"/>
      <c r="DV20" s="31"/>
      <c r="DX20" s="15"/>
      <c r="EA20" s="15"/>
      <c r="ED20" s="15"/>
      <c r="EF20" s="227">
        <v>15000</v>
      </c>
      <c r="EG20" s="15">
        <f t="shared" si="21"/>
        <v>15000</v>
      </c>
      <c r="EI20" s="15">
        <v>16297.55</v>
      </c>
      <c r="EK20" s="15">
        <v>17000</v>
      </c>
      <c r="EL20" s="235">
        <f t="shared" si="46"/>
        <v>1.0431015704814528</v>
      </c>
      <c r="EM20" s="227">
        <v>10000</v>
      </c>
      <c r="EN20" s="15">
        <f t="shared" si="22"/>
        <v>27000</v>
      </c>
      <c r="EQ20" s="15">
        <f t="shared" si="23"/>
        <v>27000</v>
      </c>
      <c r="ET20" s="15">
        <f t="shared" si="24"/>
        <v>27000</v>
      </c>
      <c r="EV20" s="227">
        <v>-3000</v>
      </c>
      <c r="EW20" s="15">
        <f t="shared" si="25"/>
        <v>24000</v>
      </c>
      <c r="EZ20" s="189">
        <f t="shared" si="26"/>
        <v>24000</v>
      </c>
      <c r="FB20" s="189">
        <v>22775.69</v>
      </c>
      <c r="FD20" s="15">
        <v>22000</v>
      </c>
      <c r="FE20" s="235">
        <f t="shared" si="47"/>
        <v>0.96594219538464043</v>
      </c>
    </row>
    <row r="21" spans="1:163" outlineLevel="1">
      <c r="A21" s="1" t="s">
        <v>11</v>
      </c>
      <c r="B21" s="1" t="s">
        <v>34</v>
      </c>
      <c r="C21" s="4" t="s">
        <v>35</v>
      </c>
      <c r="D21" s="8">
        <v>267000</v>
      </c>
      <c r="E21" s="28">
        <v>88.81</v>
      </c>
      <c r="F21" s="8">
        <v>267000</v>
      </c>
      <c r="G21" s="28">
        <v>88.81</v>
      </c>
      <c r="H21" s="9">
        <v>237112.88</v>
      </c>
      <c r="I21" s="14">
        <f t="shared" si="51"/>
        <v>237112.88</v>
      </c>
      <c r="J21" s="14"/>
      <c r="L21" s="158">
        <v>238000</v>
      </c>
      <c r="M21" s="17">
        <f>L21/F21-1</f>
        <v>-0.10861423220973787</v>
      </c>
      <c r="N21" s="17">
        <f t="shared" si="29"/>
        <v>3.7413404113686433E-3</v>
      </c>
      <c r="P21" s="15">
        <f t="shared" si="52"/>
        <v>238000</v>
      </c>
      <c r="Q21" s="15">
        <f t="shared" si="53"/>
        <v>238000</v>
      </c>
      <c r="R21" s="15">
        <f t="shared" si="54"/>
        <v>238000</v>
      </c>
      <c r="S21" s="15">
        <f t="shared" si="55"/>
        <v>238000</v>
      </c>
      <c r="U21" s="118">
        <v>262000</v>
      </c>
      <c r="V21" s="17">
        <f t="shared" si="30"/>
        <v>0.10084033613445387</v>
      </c>
      <c r="X21" s="118">
        <f t="shared" si="31"/>
        <v>262000</v>
      </c>
      <c r="Z21" s="118">
        <v>244000</v>
      </c>
      <c r="AB21" s="187">
        <f t="shared" si="32"/>
        <v>-18000</v>
      </c>
      <c r="AC21" s="187"/>
      <c r="AD21" s="118">
        <v>244000</v>
      </c>
      <c r="AE21" s="187"/>
      <c r="AF21" s="182">
        <f t="shared" si="33"/>
        <v>0</v>
      </c>
      <c r="AG21" s="187"/>
      <c r="AH21" s="118">
        <v>266000</v>
      </c>
      <c r="AI21" s="187"/>
      <c r="AJ21" s="182">
        <f t="shared" si="66"/>
        <v>22000</v>
      </c>
      <c r="AK21" s="118"/>
      <c r="AL21" s="15">
        <v>265743.53000000003</v>
      </c>
      <c r="AM21" s="189"/>
      <c r="AN21" s="227">
        <v>267000</v>
      </c>
      <c r="AO21" s="17">
        <f t="shared" si="35"/>
        <v>0.12184873949579833</v>
      </c>
      <c r="AP21" s="17">
        <f t="shared" si="36"/>
        <v>3.759398496240518E-3</v>
      </c>
      <c r="AQ21" s="17">
        <f t="shared" si="37"/>
        <v>4.7281301636956652E-3</v>
      </c>
      <c r="BA21" s="15">
        <f t="shared" si="38"/>
        <v>267000</v>
      </c>
      <c r="BD21" s="15">
        <f t="shared" si="39"/>
        <v>267000</v>
      </c>
      <c r="BG21" s="15">
        <f t="shared" si="40"/>
        <v>267000</v>
      </c>
      <c r="BI21" s="15">
        <v>0</v>
      </c>
      <c r="BJ21" s="15">
        <f t="shared" si="41"/>
        <v>267000</v>
      </c>
      <c r="BL21" s="15">
        <v>267900.49</v>
      </c>
      <c r="BM21" s="235">
        <f t="shared" si="42"/>
        <v>1.0033726217228465</v>
      </c>
      <c r="BO21" s="15">
        <v>269000</v>
      </c>
      <c r="BP21" s="235">
        <f>BO21/BL21</f>
        <v>1.0041041731577274</v>
      </c>
      <c r="BS21" s="15">
        <f t="shared" si="44"/>
        <v>269000</v>
      </c>
      <c r="BV21" s="15">
        <f t="shared" si="4"/>
        <v>269000</v>
      </c>
      <c r="BY21" s="15">
        <f t="shared" si="56"/>
        <v>269000</v>
      </c>
      <c r="BZ21" s="145"/>
      <c r="CB21" s="15">
        <f t="shared" si="57"/>
        <v>269000</v>
      </c>
      <c r="CE21" s="15">
        <f t="shared" si="58"/>
        <v>269000</v>
      </c>
      <c r="CH21" s="15">
        <f t="shared" si="59"/>
        <v>269000</v>
      </c>
      <c r="CJ21" s="227">
        <v>-9000</v>
      </c>
      <c r="CK21" s="15">
        <f t="shared" si="60"/>
        <v>260000</v>
      </c>
      <c r="CN21" s="15">
        <f t="shared" si="61"/>
        <v>260000</v>
      </c>
      <c r="CP21" s="15">
        <v>260107.79</v>
      </c>
      <c r="CR21" s="15">
        <v>260000</v>
      </c>
      <c r="CS21" s="235">
        <f>CR21/CP21</f>
        <v>0.99958559487972276</v>
      </c>
      <c r="CV21" s="15">
        <f t="shared" si="45"/>
        <v>260000</v>
      </c>
      <c r="CY21" s="15">
        <f t="shared" si="11"/>
        <v>260000</v>
      </c>
      <c r="DB21" s="15">
        <f t="shared" si="12"/>
        <v>260000</v>
      </c>
      <c r="DE21" s="15">
        <f t="shared" si="13"/>
        <v>260000</v>
      </c>
      <c r="DH21" s="15">
        <f t="shared" si="14"/>
        <v>260000</v>
      </c>
      <c r="DK21" s="15">
        <f t="shared" si="15"/>
        <v>260000</v>
      </c>
      <c r="DN21" s="15">
        <f t="shared" si="16"/>
        <v>260000</v>
      </c>
      <c r="DQ21" s="15">
        <f t="shared" si="17"/>
        <v>260000</v>
      </c>
      <c r="DS21" s="15">
        <v>276200.09000000003</v>
      </c>
      <c r="DU21" s="15">
        <v>497000</v>
      </c>
      <c r="DV21" s="235">
        <f>DU21/DS21</f>
        <v>1.7994201232881566</v>
      </c>
      <c r="DX21" s="15">
        <f t="shared" si="18"/>
        <v>497000</v>
      </c>
      <c r="EA21" s="15">
        <f t="shared" si="19"/>
        <v>497000</v>
      </c>
      <c r="ED21" s="15">
        <f t="shared" si="20"/>
        <v>497000</v>
      </c>
      <c r="EG21" s="15">
        <f t="shared" si="21"/>
        <v>497000</v>
      </c>
      <c r="EI21" s="15">
        <v>452640.13</v>
      </c>
      <c r="EK21" s="15">
        <v>453000</v>
      </c>
      <c r="EL21" s="235">
        <f t="shared" si="46"/>
        <v>1.0007950466079973</v>
      </c>
      <c r="EN21" s="15">
        <f t="shared" ref="EN21" si="67">EK21+EM21</f>
        <v>453000</v>
      </c>
      <c r="EQ21" s="15">
        <f t="shared" si="23"/>
        <v>453000</v>
      </c>
      <c r="ET21" s="15">
        <f t="shared" si="24"/>
        <v>453000</v>
      </c>
      <c r="EW21" s="15">
        <f t="shared" si="25"/>
        <v>453000</v>
      </c>
      <c r="EZ21" s="189">
        <f t="shared" si="26"/>
        <v>453000</v>
      </c>
      <c r="FB21" s="189">
        <v>446361.44</v>
      </c>
      <c r="FD21" s="15">
        <v>447000</v>
      </c>
      <c r="FE21" s="235">
        <f t="shared" si="47"/>
        <v>1.0014305895240414</v>
      </c>
    </row>
    <row r="22" spans="1:163" ht="15.75" thickBot="1">
      <c r="A22" s="18"/>
      <c r="B22" s="18" t="s">
        <v>266</v>
      </c>
      <c r="C22" s="19" t="s">
        <v>292</v>
      </c>
      <c r="D22" s="20">
        <f>SUM(D5:D21)</f>
        <v>4575300</v>
      </c>
      <c r="E22" s="29"/>
      <c r="F22" s="20">
        <f>SUM(F5:F21)</f>
        <v>4645242.8</v>
      </c>
      <c r="G22" s="29"/>
      <c r="H22" s="21"/>
      <c r="I22" s="20">
        <f>SUM(I5:I21)</f>
        <v>4740772.2700000005</v>
      </c>
      <c r="J22" s="22"/>
      <c r="K22" s="20"/>
      <c r="L22" s="164">
        <f>SUM(L5:L21)</f>
        <v>4972000</v>
      </c>
      <c r="M22" s="23">
        <f>L22/F22-1</f>
        <v>7.0342329576400298E-2</v>
      </c>
      <c r="N22" s="23">
        <f>L22/I22-1</f>
        <v>4.8774274913652382E-2</v>
      </c>
      <c r="P22" s="20">
        <f>SUM(P5:P21)</f>
        <v>4637950</v>
      </c>
      <c r="Q22" s="20">
        <f>SUM(Q5:Q21)</f>
        <v>4470925</v>
      </c>
      <c r="R22" s="20">
        <f>SUM(R5:R21)</f>
        <v>4303900</v>
      </c>
      <c r="S22" s="20">
        <f>SUM(S5:S21)</f>
        <v>4036660</v>
      </c>
      <c r="U22" s="164">
        <f>SUM(U5:U21)</f>
        <v>4084200</v>
      </c>
      <c r="X22" s="164">
        <f>SUM(X5:X21)</f>
        <v>4084200</v>
      </c>
      <c r="Z22" s="164">
        <f>SUM(Z5:Z21)</f>
        <v>4353120</v>
      </c>
      <c r="AD22" s="164">
        <f>SUM(AD5:AD21)</f>
        <v>4416700</v>
      </c>
      <c r="AF22" s="182"/>
      <c r="AH22" s="164">
        <f>SUM(AH5:AH21)</f>
        <v>4661600</v>
      </c>
      <c r="AJ22" s="182"/>
      <c r="AL22" s="164">
        <f>SUM(AL5:AL21)</f>
        <v>4655908.6900000004</v>
      </c>
      <c r="AM22" s="190"/>
      <c r="AN22" s="164">
        <f>SUM(AN5:AN21)</f>
        <v>4104000</v>
      </c>
      <c r="AO22" s="214">
        <f>AN22/L22-1</f>
        <v>-0.17457763475462595</v>
      </c>
      <c r="AP22" s="214">
        <f>AN22/AH22-1</f>
        <v>-0.11961558263257255</v>
      </c>
      <c r="AQ22" s="214">
        <f t="shared" ref="AQ22" si="68">AN22/AL22-1</f>
        <v>-0.11853941448323391</v>
      </c>
      <c r="AZ22" s="164">
        <f>SUM(AZ5:AZ21)</f>
        <v>0</v>
      </c>
      <c r="BA22" s="164">
        <f>SUM(BA5:BA21)</f>
        <v>4104000</v>
      </c>
      <c r="BD22" s="164">
        <f>SUM(BD5:BD21)</f>
        <v>4104000</v>
      </c>
      <c r="BG22" s="164">
        <f>SUM(BG5:BG21)</f>
        <v>4104000</v>
      </c>
      <c r="BI22" s="164">
        <f>SUM(BI5:BI21)</f>
        <v>792000</v>
      </c>
      <c r="BJ22" s="164">
        <f>SUM(BJ5:BJ21)</f>
        <v>4896000</v>
      </c>
      <c r="BL22" s="164">
        <f>SUM(BL5:BL21)</f>
        <v>5079806.87</v>
      </c>
      <c r="BM22" s="240">
        <f>BL22/BJ22</f>
        <v>1.0375422528594771</v>
      </c>
      <c r="BO22" s="164">
        <f>SUM(BO5:BO21)</f>
        <v>5423700</v>
      </c>
      <c r="BP22" s="240">
        <f>BO22/BL22</f>
        <v>1.0676980717575981</v>
      </c>
      <c r="BR22" s="164">
        <f t="shared" ref="BR22:BS22" si="69">SUM(BR5:BR21)</f>
        <v>109500</v>
      </c>
      <c r="BS22" s="164">
        <f t="shared" si="69"/>
        <v>5533200</v>
      </c>
      <c r="BU22" s="164">
        <f>SUM(BU5:BU21)</f>
        <v>88300</v>
      </c>
      <c r="BV22" s="164">
        <f t="shared" ref="BV22" si="70">SUM(BV5:BV21)</f>
        <v>5621500</v>
      </c>
      <c r="BX22" s="164">
        <f>SUM(BX5:BX21)</f>
        <v>0</v>
      </c>
      <c r="BY22" s="164">
        <f t="shared" ref="BY22" si="71">SUM(BY5:BY21)</f>
        <v>5621500</v>
      </c>
      <c r="BZ22" s="145"/>
      <c r="CA22" s="321">
        <f>SUM(CA5:CA21)</f>
        <v>0</v>
      </c>
      <c r="CB22" s="164">
        <f t="shared" ref="CB22" si="72">SUM(CB5:CB21)</f>
        <v>5621500</v>
      </c>
      <c r="CD22" s="164">
        <f>SUM(CD5:CD21)</f>
        <v>51000</v>
      </c>
      <c r="CE22" s="164">
        <f t="shared" ref="CE22" si="73">SUM(CE5:CE21)</f>
        <v>5672500</v>
      </c>
      <c r="CG22" s="164">
        <f>SUM(CG5:CG21)</f>
        <v>0</v>
      </c>
      <c r="CH22" s="164">
        <f t="shared" ref="CH22" si="74">SUM(CH5:CH21)</f>
        <v>5672500</v>
      </c>
      <c r="CJ22" s="164">
        <f>SUM(CJ5:CJ21)</f>
        <v>87000</v>
      </c>
      <c r="CK22" s="164">
        <f t="shared" ref="CK22" si="75">SUM(CK5:CK21)</f>
        <v>5759500</v>
      </c>
      <c r="CM22" s="164">
        <f>SUM(CM5:CM21)</f>
        <v>0</v>
      </c>
      <c r="CN22" s="164">
        <f t="shared" ref="CN22" si="76">SUM(CN5:CN21)</f>
        <v>5759500</v>
      </c>
      <c r="CP22" s="164">
        <f>SUM(CP5:CP21)</f>
        <v>5723404.6900000004</v>
      </c>
      <c r="CR22" s="164">
        <f>SUM(CR5:CR21)</f>
        <v>6126400</v>
      </c>
      <c r="CS22" s="240">
        <f>CR22/CP22</f>
        <v>1.0704118146151917</v>
      </c>
      <c r="CU22" s="164">
        <f>SUM(CU5:CU21)</f>
        <v>0</v>
      </c>
      <c r="CV22" s="164">
        <f>SUM(CV5:CV21)</f>
        <v>6126400</v>
      </c>
      <c r="CX22" s="164">
        <f>SUM(CX5:CX21)</f>
        <v>0</v>
      </c>
      <c r="CY22" s="164">
        <f>SUM(CY5:CY21)</f>
        <v>6126400</v>
      </c>
      <c r="DA22" s="164">
        <f>SUM(DA5:DA21)</f>
        <v>0</v>
      </c>
      <c r="DB22" s="164">
        <f>SUM(DB5:DB21)</f>
        <v>6126400</v>
      </c>
      <c r="DD22" s="164">
        <f>SUM(DD5:DD21)</f>
        <v>14000</v>
      </c>
      <c r="DE22" s="164">
        <f>SUM(DE5:DE21)</f>
        <v>6140400</v>
      </c>
      <c r="DG22" s="164">
        <f>SUM(DG5:DG21)</f>
        <v>0</v>
      </c>
      <c r="DH22" s="164">
        <f>SUM(DH5:DH21)</f>
        <v>6140400</v>
      </c>
      <c r="DJ22" s="164">
        <f>SUM(DJ5:DJ21)</f>
        <v>120000</v>
      </c>
      <c r="DK22" s="164">
        <f>SUM(DK5:DK21)</f>
        <v>6260400</v>
      </c>
      <c r="DM22" s="164">
        <f>SUM(DM5:DM21)</f>
        <v>-105648</v>
      </c>
      <c r="DN22" s="164">
        <f>SUM(DN5:DN21)</f>
        <v>6154752</v>
      </c>
      <c r="DP22" s="164">
        <f>SUM(DP5:DP21)</f>
        <v>0</v>
      </c>
      <c r="DQ22" s="164">
        <f>SUM(DQ5:DQ21)</f>
        <v>6154752</v>
      </c>
      <c r="DS22" s="164">
        <f>SUM(DS5:DS21)</f>
        <v>6279896.7999999998</v>
      </c>
      <c r="DU22" s="164">
        <f>SUM(DU5:DU21)</f>
        <v>6763000</v>
      </c>
      <c r="DV22" s="235">
        <f t="shared" ref="DV22" si="77">DU22/DS22</f>
        <v>1.0769285253222634</v>
      </c>
      <c r="DW22" s="164">
        <f>SUM(DW5:DW21)</f>
        <v>63080</v>
      </c>
      <c r="DX22" s="164">
        <f>SUM(DX5:DX21)</f>
        <v>6826080</v>
      </c>
      <c r="DY22" s="15">
        <f>DX22-DW22</f>
        <v>6763000</v>
      </c>
      <c r="DZ22" s="164">
        <f>SUM(DZ5:DZ21)</f>
        <v>4500</v>
      </c>
      <c r="EA22" s="164">
        <f>SUM(EA5:EA21)</f>
        <v>6830580</v>
      </c>
      <c r="EC22" s="164">
        <f>SUM(EC5:EC21)</f>
        <v>0</v>
      </c>
      <c r="ED22" s="164">
        <f>SUM(ED5:ED21)</f>
        <v>6830580</v>
      </c>
      <c r="EF22" s="164">
        <f>SUM(EF5:EF21)</f>
        <v>-103466</v>
      </c>
      <c r="EG22" s="164">
        <f>SUM(EG5:EG21)</f>
        <v>6727114</v>
      </c>
      <c r="EI22" s="164">
        <f>SUM(EI5:EI21)</f>
        <v>6594028.2300000004</v>
      </c>
      <c r="EK22" s="164">
        <f>SUM(EK5:EK21)</f>
        <v>6645800</v>
      </c>
      <c r="EL22" s="235">
        <f t="shared" si="46"/>
        <v>1.0078513115495109</v>
      </c>
      <c r="EM22" s="164">
        <f>SUM(EM5:EM21)</f>
        <v>47000</v>
      </c>
      <c r="EN22" s="164">
        <f>SUM(EN5:EN21)</f>
        <v>6692800</v>
      </c>
      <c r="EP22" s="164">
        <f>SUM(EP5:EP21)</f>
        <v>0</v>
      </c>
      <c r="EQ22" s="164">
        <f>SUM(EQ5:EQ21)</f>
        <v>6692800</v>
      </c>
      <c r="ES22" s="164">
        <f>SUM(ES5:ES21)</f>
        <v>0</v>
      </c>
      <c r="ET22" s="164">
        <f>SUM(ET5:ET21)</f>
        <v>6692800</v>
      </c>
      <c r="EV22" s="164">
        <f>SUM(EV5:EV21)</f>
        <v>147000</v>
      </c>
      <c r="EW22" s="164">
        <f>SUM(EW5:EW21)</f>
        <v>6839800</v>
      </c>
      <c r="EY22" s="164">
        <f>SUM(EY5:EY21)</f>
        <v>0</v>
      </c>
      <c r="EZ22" s="428">
        <f>SUM(EZ5:EZ21)</f>
        <v>6839800</v>
      </c>
      <c r="FB22" s="428">
        <f>SUM(FB5:FB21)</f>
        <v>6888927.5600000005</v>
      </c>
      <c r="FD22" s="164">
        <f>SUM(FD5:FD21)</f>
        <v>6958800</v>
      </c>
      <c r="FE22" s="235">
        <f t="shared" si="47"/>
        <v>1.0101427166117565</v>
      </c>
    </row>
    <row r="23" spans="1:163" ht="15.75" outlineLevel="1" thickTop="1">
      <c r="A23" s="1"/>
      <c r="B23" s="1"/>
      <c r="C23" s="4"/>
      <c r="D23" s="15"/>
      <c r="E23" s="28"/>
      <c r="F23" s="15"/>
      <c r="G23" s="28"/>
      <c r="H23" s="9"/>
      <c r="I23" s="15"/>
      <c r="J23" s="14"/>
      <c r="M23" s="17"/>
      <c r="N23" s="17"/>
      <c r="P23" s="15"/>
      <c r="Q23" s="15"/>
      <c r="R23" s="15"/>
      <c r="S23" s="15"/>
      <c r="AF23" s="182"/>
      <c r="AJ23" s="182"/>
      <c r="BD23" s="15"/>
      <c r="BZ23" s="145"/>
    </row>
    <row r="24" spans="1:163" outlineLevel="1">
      <c r="A24" s="1" t="s">
        <v>11</v>
      </c>
      <c r="B24" s="1" t="s">
        <v>36</v>
      </c>
      <c r="C24" s="4" t="s">
        <v>37</v>
      </c>
      <c r="D24" s="8">
        <v>0</v>
      </c>
      <c r="E24" s="28">
        <v>0</v>
      </c>
      <c r="F24" s="8">
        <v>29000</v>
      </c>
      <c r="G24" s="28">
        <v>100</v>
      </c>
      <c r="H24" s="9">
        <v>29000</v>
      </c>
      <c r="I24" s="14">
        <v>29000</v>
      </c>
      <c r="J24" s="14"/>
      <c r="L24" s="118">
        <v>0</v>
      </c>
      <c r="M24" s="17">
        <f>L24/F24-1</f>
        <v>-1</v>
      </c>
      <c r="N24" s="17">
        <f>L24/I24-1</f>
        <v>-1</v>
      </c>
      <c r="P24" s="15"/>
      <c r="Q24" s="15"/>
      <c r="R24" s="15"/>
      <c r="S24" s="15"/>
      <c r="X24" s="118">
        <f>448750+31000</f>
        <v>479750</v>
      </c>
      <c r="Z24" s="118">
        <v>479750</v>
      </c>
      <c r="AB24" s="187">
        <f t="shared" ref="AB24:AB30" si="78">Z24-X24</f>
        <v>0</v>
      </c>
      <c r="AC24" s="187"/>
      <c r="AD24" s="118">
        <v>479750</v>
      </c>
      <c r="AE24" s="187"/>
      <c r="AF24" s="182"/>
      <c r="AG24" s="187"/>
      <c r="AH24" s="118">
        <v>479750</v>
      </c>
      <c r="AI24" s="187"/>
      <c r="AJ24" s="182"/>
      <c r="AL24" s="15">
        <v>479750</v>
      </c>
      <c r="AM24" s="189"/>
      <c r="AN24" s="15">
        <v>0</v>
      </c>
      <c r="AO24" s="17"/>
      <c r="AP24" s="17">
        <f t="shared" ref="AP24:AP30" si="79">AN24/AH24</f>
        <v>0</v>
      </c>
      <c r="AQ24" s="17">
        <f t="shared" ref="AQ24:AQ30" si="80">AN24/AL24</f>
        <v>0</v>
      </c>
      <c r="AZ24">
        <v>12613.07</v>
      </c>
      <c r="BA24" s="15">
        <f t="shared" ref="BA24:BA30" si="81">AN24+AZ24</f>
        <v>12613.07</v>
      </c>
      <c r="BD24" s="15">
        <f t="shared" si="39"/>
        <v>12613.07</v>
      </c>
      <c r="BF24">
        <v>49297.26</v>
      </c>
      <c r="BG24" s="189">
        <f>BD24+BF24</f>
        <v>61910.33</v>
      </c>
      <c r="BI24" s="189">
        <f>95598.24-BG24</f>
        <v>33687.910000000003</v>
      </c>
      <c r="BJ24" s="189">
        <f t="shared" ref="BJ24:BJ30" si="82">BG24+BI24</f>
        <v>95598.24</v>
      </c>
      <c r="BL24" s="15">
        <v>95598.24</v>
      </c>
      <c r="BM24" s="235">
        <f t="shared" si="42"/>
        <v>1</v>
      </c>
      <c r="BO24" s="15">
        <v>0</v>
      </c>
      <c r="BP24" s="235">
        <f t="shared" ref="BP24:BP28" si="83">BO24/BL24</f>
        <v>0</v>
      </c>
      <c r="BR24" s="15">
        <v>17926.07</v>
      </c>
      <c r="BS24" s="15">
        <f t="shared" ref="BS24:BS30" si="84">BO24+BR24</f>
        <v>17926.07</v>
      </c>
      <c r="BU24" s="227">
        <v>674</v>
      </c>
      <c r="BV24" s="15">
        <f t="shared" ref="BV24:BV30" si="85">BS24+BU24</f>
        <v>18600.07</v>
      </c>
      <c r="BY24" s="15">
        <f t="shared" ref="BY24:BY31" si="86">BV24+BX24</f>
        <v>18600.07</v>
      </c>
      <c r="BZ24" s="145">
        <v>32000</v>
      </c>
      <c r="CB24" s="15">
        <f t="shared" ref="CB24:CB31" si="87">BY24+CA24</f>
        <v>18600.07</v>
      </c>
      <c r="CD24" s="227">
        <v>41000</v>
      </c>
      <c r="CE24" s="15">
        <f t="shared" ref="CE24:CE31" si="88">CB24+CD24</f>
        <v>59600.07</v>
      </c>
      <c r="CH24" s="15">
        <f t="shared" ref="CH24:CH31" si="89">CE24+CG24</f>
        <v>59600.07</v>
      </c>
      <c r="CK24" s="15">
        <f t="shared" ref="CK24:CK31" si="90">CH24+CJ24</f>
        <v>59600.07</v>
      </c>
      <c r="CM24" s="346">
        <v>399.92</v>
      </c>
      <c r="CN24" s="15">
        <f t="shared" ref="CN24:CN31" si="91">CK24+CM24</f>
        <v>59999.99</v>
      </c>
      <c r="CP24" s="15">
        <v>59999.92</v>
      </c>
      <c r="CR24" s="15">
        <v>38600</v>
      </c>
      <c r="CS24" s="235">
        <f>CR24/CP24</f>
        <v>0.64333419111225487</v>
      </c>
      <c r="CU24" s="189"/>
      <c r="CV24" s="15">
        <f t="shared" ref="CV24:CV31" si="92">CR24+CU24</f>
        <v>38600</v>
      </c>
      <c r="CX24" s="189"/>
      <c r="CY24" s="15">
        <f t="shared" ref="CY24:CY31" si="93">CV24+CX24</f>
        <v>38600</v>
      </c>
      <c r="DA24" s="189"/>
      <c r="DB24" s="15">
        <f t="shared" ref="DB24:DB31" si="94">CY24+DA24</f>
        <v>38600</v>
      </c>
      <c r="DD24" s="189"/>
      <c r="DE24" s="15">
        <f t="shared" ref="DE24:DE31" si="95">DB24+DD24</f>
        <v>38600</v>
      </c>
      <c r="DG24" s="189"/>
      <c r="DH24" s="15">
        <f t="shared" ref="DH24:DH31" si="96">DE24+DG24</f>
        <v>38600</v>
      </c>
      <c r="DJ24" s="189"/>
      <c r="DK24" s="15">
        <f t="shared" ref="DK24:DK31" si="97">DH24+DJ24</f>
        <v>38600</v>
      </c>
      <c r="DM24" s="189"/>
      <c r="DN24" s="15">
        <f t="shared" ref="DN24:DN31" si="98">DK24+DM24</f>
        <v>38600</v>
      </c>
      <c r="DP24" s="189"/>
      <c r="DQ24" s="15">
        <f t="shared" ref="DQ24:DQ31" si="99">DN24+DP24</f>
        <v>38600</v>
      </c>
      <c r="DS24" s="15">
        <v>38600</v>
      </c>
      <c r="DU24" s="15">
        <v>0</v>
      </c>
      <c r="DV24" s="235">
        <f t="shared" ref="DV24:DV29" si="100">DU24/DS24</f>
        <v>0</v>
      </c>
      <c r="DW24" s="189"/>
      <c r="DX24" s="15">
        <f t="shared" ref="DX24:DX28" si="101">DU24+DW24</f>
        <v>0</v>
      </c>
      <c r="DZ24" s="227">
        <v>32000</v>
      </c>
      <c r="EA24" s="15">
        <f t="shared" ref="EA24:EA31" si="102">DX24+DZ24</f>
        <v>32000</v>
      </c>
      <c r="EC24" s="227">
        <v>48000</v>
      </c>
      <c r="ED24" s="15">
        <f t="shared" ref="ED24:ED31" si="103">EA24+EC24</f>
        <v>80000</v>
      </c>
      <c r="EG24" s="15">
        <f t="shared" ref="EG24:EG31" si="104">ED24+EF24</f>
        <v>80000</v>
      </c>
      <c r="EI24" s="15">
        <v>80000</v>
      </c>
      <c r="EL24" s="235">
        <f t="shared" si="46"/>
        <v>0</v>
      </c>
      <c r="EV24" s="227">
        <v>32500</v>
      </c>
      <c r="EW24" s="15">
        <f t="shared" ref="EW24:EW27" si="105">ET24+EV24</f>
        <v>32500</v>
      </c>
      <c r="EZ24" s="189">
        <f t="shared" ref="EZ24:EZ27" si="106">EW24+EY24</f>
        <v>32500</v>
      </c>
      <c r="FB24" s="189">
        <v>32500</v>
      </c>
      <c r="FE24" s="235">
        <f t="shared" ref="FE24:FE25" si="107">FD24/FB24</f>
        <v>0</v>
      </c>
    </row>
    <row r="25" spans="1:163" outlineLevel="1">
      <c r="A25" s="1" t="s">
        <v>11</v>
      </c>
      <c r="B25" s="1" t="s">
        <v>38</v>
      </c>
      <c r="C25" s="4" t="s">
        <v>39</v>
      </c>
      <c r="D25" s="8">
        <v>76800</v>
      </c>
      <c r="E25" s="28">
        <v>83.33</v>
      </c>
      <c r="F25" s="8">
        <v>76800</v>
      </c>
      <c r="G25" s="28">
        <v>83.33</v>
      </c>
      <c r="H25" s="9">
        <v>64000</v>
      </c>
      <c r="I25" s="14">
        <v>76800</v>
      </c>
      <c r="J25" s="14"/>
      <c r="L25" s="118">
        <v>76800</v>
      </c>
      <c r="M25" s="17">
        <f>L25/F25-1</f>
        <v>0</v>
      </c>
      <c r="N25" s="17">
        <f>L25/I25-1</f>
        <v>0</v>
      </c>
      <c r="P25" s="15"/>
      <c r="Q25" s="15"/>
      <c r="R25" s="15"/>
      <c r="S25" s="15"/>
      <c r="X25" s="118">
        <v>78500</v>
      </c>
      <c r="Z25" s="118">
        <v>78500</v>
      </c>
      <c r="AB25" s="187">
        <f t="shared" si="78"/>
        <v>0</v>
      </c>
      <c r="AC25" s="187"/>
      <c r="AD25" s="118">
        <v>78500</v>
      </c>
      <c r="AE25" s="187"/>
      <c r="AF25" s="182"/>
      <c r="AG25" s="187"/>
      <c r="AH25" s="118">
        <v>78500</v>
      </c>
      <c r="AI25" s="187"/>
      <c r="AJ25" s="182"/>
      <c r="AL25" s="15">
        <v>78500</v>
      </c>
      <c r="AM25" s="189"/>
      <c r="AN25" s="15">
        <v>84000</v>
      </c>
      <c r="AO25" s="17">
        <f t="shared" ref="AO25" si="108">AN25/L25-1</f>
        <v>9.375E-2</v>
      </c>
      <c r="AP25" s="17">
        <f t="shared" ref="AP25" si="109">AN25/AH25-1</f>
        <v>7.0063694267515908E-2</v>
      </c>
      <c r="AQ25" s="17">
        <f t="shared" ref="AQ25" si="110">AN25/AL25-1</f>
        <v>7.0063694267515908E-2</v>
      </c>
      <c r="AZ25">
        <v>500</v>
      </c>
      <c r="BA25" s="15">
        <f t="shared" si="81"/>
        <v>84500</v>
      </c>
      <c r="BD25" s="15">
        <f t="shared" si="39"/>
        <v>84500</v>
      </c>
      <c r="BG25" s="15">
        <f>BD25</f>
        <v>84500</v>
      </c>
      <c r="BJ25" s="15">
        <f t="shared" si="82"/>
        <v>84500</v>
      </c>
      <c r="BL25" s="15">
        <v>84500</v>
      </c>
      <c r="BM25" s="235">
        <f t="shared" si="42"/>
        <v>1</v>
      </c>
      <c r="BO25" s="15">
        <f>6900*12</f>
        <v>82800</v>
      </c>
      <c r="BP25" s="235">
        <f t="shared" si="83"/>
        <v>0.97988165680473371</v>
      </c>
      <c r="BS25" s="15">
        <f t="shared" si="84"/>
        <v>82800</v>
      </c>
      <c r="BV25" s="15">
        <f t="shared" si="85"/>
        <v>82800</v>
      </c>
      <c r="BY25" s="15">
        <f t="shared" si="86"/>
        <v>82800</v>
      </c>
      <c r="BZ25" s="145">
        <v>-200</v>
      </c>
      <c r="CA25" s="15">
        <v>200</v>
      </c>
      <c r="CB25" s="15">
        <f t="shared" si="87"/>
        <v>83000</v>
      </c>
      <c r="CE25" s="15">
        <f t="shared" si="88"/>
        <v>83000</v>
      </c>
      <c r="CH25" s="15">
        <f t="shared" si="89"/>
        <v>83000</v>
      </c>
      <c r="CK25" s="15">
        <f t="shared" si="90"/>
        <v>83000</v>
      </c>
      <c r="CN25" s="15">
        <f t="shared" si="91"/>
        <v>83000</v>
      </c>
      <c r="CP25" s="15">
        <v>83000</v>
      </c>
      <c r="CR25" s="15">
        <v>84700</v>
      </c>
      <c r="CS25" s="235">
        <f>CR25/CP25</f>
        <v>1.0204819277108435</v>
      </c>
      <c r="CV25" s="15">
        <f t="shared" si="92"/>
        <v>84700</v>
      </c>
      <c r="CY25" s="15">
        <f t="shared" si="93"/>
        <v>84700</v>
      </c>
      <c r="DB25" s="15">
        <f t="shared" si="94"/>
        <v>84700</v>
      </c>
      <c r="DE25" s="15">
        <f t="shared" si="95"/>
        <v>84700</v>
      </c>
      <c r="DH25" s="15">
        <f t="shared" si="96"/>
        <v>84700</v>
      </c>
      <c r="DK25" s="15">
        <f t="shared" si="97"/>
        <v>84700</v>
      </c>
      <c r="DN25" s="15">
        <f t="shared" si="98"/>
        <v>84700</v>
      </c>
      <c r="DQ25" s="15">
        <f t="shared" si="99"/>
        <v>84700</v>
      </c>
      <c r="DS25" s="15">
        <v>84700</v>
      </c>
      <c r="DU25" s="15">
        <v>79700</v>
      </c>
      <c r="DV25" s="235">
        <f t="shared" si="100"/>
        <v>0.94096812278630459</v>
      </c>
      <c r="DX25" s="15">
        <f t="shared" si="101"/>
        <v>79700</v>
      </c>
      <c r="EA25" s="15">
        <f t="shared" si="102"/>
        <v>79700</v>
      </c>
      <c r="ED25" s="15">
        <f t="shared" si="103"/>
        <v>79700</v>
      </c>
      <c r="EG25" s="15">
        <f t="shared" si="104"/>
        <v>79700</v>
      </c>
      <c r="EI25" s="15">
        <v>79700</v>
      </c>
      <c r="EK25" s="15">
        <v>80300</v>
      </c>
      <c r="EL25" s="235">
        <f t="shared" si="46"/>
        <v>1.0075282308657465</v>
      </c>
      <c r="EN25" s="15">
        <f t="shared" ref="EN25:EN31" si="111">EK25+EM25</f>
        <v>80300</v>
      </c>
      <c r="EQ25" s="15">
        <f t="shared" ref="EQ25:EQ27" si="112">EN25+EP25</f>
        <v>80300</v>
      </c>
      <c r="ET25" s="15">
        <f t="shared" ref="ET25:ET27" si="113">EQ25+ES25</f>
        <v>80300</v>
      </c>
      <c r="EW25" s="15">
        <f t="shared" si="105"/>
        <v>80300</v>
      </c>
      <c r="EZ25" s="189">
        <f t="shared" si="106"/>
        <v>80300</v>
      </c>
      <c r="FB25" s="189">
        <v>80300</v>
      </c>
      <c r="FD25" s="15">
        <f>12*6900</f>
        <v>82800</v>
      </c>
      <c r="FE25" s="235">
        <f t="shared" si="107"/>
        <v>1.0311332503113324</v>
      </c>
    </row>
    <row r="26" spans="1:163" outlineLevel="1">
      <c r="A26" s="1" t="s">
        <v>11</v>
      </c>
      <c r="B26" s="1" t="s">
        <v>603</v>
      </c>
      <c r="C26" s="4" t="s">
        <v>43</v>
      </c>
      <c r="D26" s="8"/>
      <c r="E26" s="28"/>
      <c r="F26" s="8"/>
      <c r="G26" s="28"/>
      <c r="H26" s="9"/>
      <c r="I26" s="14"/>
      <c r="J26" s="14"/>
      <c r="M26" s="17"/>
      <c r="N26" s="17"/>
      <c r="P26" s="15"/>
      <c r="Q26" s="15"/>
      <c r="R26" s="15"/>
      <c r="S26" s="15"/>
      <c r="X26" s="118"/>
      <c r="AB26" s="187"/>
      <c r="AC26" s="187"/>
      <c r="AE26" s="187"/>
      <c r="AF26" s="182"/>
      <c r="AG26" s="187"/>
      <c r="AI26" s="187"/>
      <c r="AJ26" s="182"/>
      <c r="AM26" s="189"/>
      <c r="AO26" s="17"/>
      <c r="AP26" s="17"/>
      <c r="AQ26" s="17"/>
      <c r="BA26" s="15"/>
      <c r="BD26" s="15"/>
      <c r="BG26" s="15"/>
      <c r="BJ26" s="15"/>
      <c r="BM26" s="235"/>
      <c r="BP26" s="235"/>
      <c r="BS26" s="15"/>
      <c r="BV26" s="15"/>
      <c r="BY26" s="15"/>
      <c r="BZ26" s="145"/>
      <c r="CB26" s="15"/>
      <c r="CE26" s="15"/>
      <c r="CH26" s="15"/>
      <c r="CK26" s="15"/>
      <c r="CN26" s="15"/>
      <c r="CS26" s="235"/>
      <c r="CV26" s="15"/>
      <c r="CX26" s="227">
        <v>241650</v>
      </c>
      <c r="CY26" s="15">
        <f t="shared" si="93"/>
        <v>241650</v>
      </c>
      <c r="DB26" s="15">
        <f t="shared" si="94"/>
        <v>241650</v>
      </c>
      <c r="DE26" s="15">
        <f t="shared" si="95"/>
        <v>241650</v>
      </c>
      <c r="DH26" s="15">
        <f t="shared" si="96"/>
        <v>241650</v>
      </c>
      <c r="DK26" s="15">
        <f t="shared" si="97"/>
        <v>241650</v>
      </c>
      <c r="DN26" s="15">
        <f t="shared" si="98"/>
        <v>241650</v>
      </c>
      <c r="DQ26" s="15">
        <f t="shared" si="99"/>
        <v>241650</v>
      </c>
      <c r="DS26" s="15">
        <v>241650</v>
      </c>
      <c r="DU26" s="15">
        <v>0</v>
      </c>
      <c r="DV26" s="235">
        <f t="shared" si="100"/>
        <v>0</v>
      </c>
      <c r="DX26" s="15">
        <f t="shared" si="101"/>
        <v>0</v>
      </c>
      <c r="EA26" s="15">
        <f t="shared" si="102"/>
        <v>0</v>
      </c>
      <c r="ED26" s="15">
        <f t="shared" si="103"/>
        <v>0</v>
      </c>
      <c r="EG26" s="15">
        <f t="shared" si="104"/>
        <v>0</v>
      </c>
      <c r="EN26" s="15">
        <f t="shared" si="111"/>
        <v>0</v>
      </c>
      <c r="EQ26" s="15">
        <f t="shared" si="112"/>
        <v>0</v>
      </c>
      <c r="ET26" s="15">
        <f t="shared" si="113"/>
        <v>0</v>
      </c>
      <c r="EW26" s="15">
        <f t="shared" si="105"/>
        <v>0</v>
      </c>
      <c r="EZ26" s="189">
        <f t="shared" si="106"/>
        <v>0</v>
      </c>
    </row>
    <row r="27" spans="1:163" ht="13.5" customHeight="1" outlineLevel="1">
      <c r="A27" s="1" t="s">
        <v>11</v>
      </c>
      <c r="B27" s="1" t="s">
        <v>40</v>
      </c>
      <c r="C27" s="4" t="s">
        <v>41</v>
      </c>
      <c r="D27" s="8">
        <v>0</v>
      </c>
      <c r="E27" s="28">
        <v>0</v>
      </c>
      <c r="F27" s="8">
        <v>0</v>
      </c>
      <c r="G27" s="28">
        <v>0</v>
      </c>
      <c r="H27" s="9">
        <v>44003</v>
      </c>
      <c r="I27" s="14">
        <v>44003</v>
      </c>
      <c r="J27" s="14"/>
      <c r="L27" s="118">
        <v>0</v>
      </c>
      <c r="M27" s="17" t="e">
        <f>L27/F27-1</f>
        <v>#DIV/0!</v>
      </c>
      <c r="N27" s="17">
        <f>L27/I27-1</f>
        <v>-1</v>
      </c>
      <c r="P27" s="15"/>
      <c r="Q27" s="15"/>
      <c r="R27" s="15"/>
      <c r="S27" s="15"/>
      <c r="U27" s="118">
        <v>85500</v>
      </c>
      <c r="X27" s="118">
        <f>15065+70435</f>
        <v>85500</v>
      </c>
      <c r="Z27" s="118">
        <v>85500</v>
      </c>
      <c r="AB27" s="187">
        <f t="shared" si="78"/>
        <v>0</v>
      </c>
      <c r="AC27" s="187"/>
      <c r="AD27" s="118">
        <v>85500</v>
      </c>
      <c r="AE27" s="187"/>
      <c r="AF27" s="182"/>
      <c r="AG27" s="187"/>
      <c r="AH27" s="118">
        <v>85500</v>
      </c>
      <c r="AI27" s="187"/>
      <c r="AJ27" s="182"/>
      <c r="AL27" s="15">
        <v>78161</v>
      </c>
      <c r="AM27" s="189"/>
      <c r="AN27" s="15">
        <v>0</v>
      </c>
      <c r="AO27" s="17"/>
      <c r="AP27" s="17">
        <f t="shared" si="79"/>
        <v>0</v>
      </c>
      <c r="AQ27" s="17">
        <f t="shared" si="80"/>
        <v>0</v>
      </c>
      <c r="AZ27">
        <v>17343</v>
      </c>
      <c r="BA27" s="15">
        <f t="shared" si="81"/>
        <v>17343</v>
      </c>
      <c r="BD27" s="15">
        <f t="shared" si="39"/>
        <v>17343</v>
      </c>
      <c r="BG27" s="15">
        <f t="shared" ref="BG27:BG30" si="114">BD27</f>
        <v>17343</v>
      </c>
      <c r="BH27" s="228">
        <v>98428</v>
      </c>
      <c r="BI27" s="227">
        <v>30000</v>
      </c>
      <c r="BJ27" s="227">
        <f>BH27+BI27</f>
        <v>128428</v>
      </c>
      <c r="BK27" s="228"/>
      <c r="BL27" s="15">
        <v>127373</v>
      </c>
      <c r="BM27" s="235">
        <f t="shared" si="42"/>
        <v>0.99178528046843373</v>
      </c>
      <c r="BO27" s="15">
        <v>1145500</v>
      </c>
      <c r="BP27" s="235">
        <f t="shared" si="83"/>
        <v>8.9932717294874109</v>
      </c>
      <c r="BS27" s="15">
        <f t="shared" si="84"/>
        <v>1145500</v>
      </c>
      <c r="BV27" s="15">
        <f t="shared" si="85"/>
        <v>1145500</v>
      </c>
      <c r="BY27" s="15">
        <f t="shared" si="86"/>
        <v>1145500</v>
      </c>
      <c r="BZ27" s="145">
        <v>26048</v>
      </c>
      <c r="CA27" s="15">
        <v>-200</v>
      </c>
      <c r="CB27" s="15">
        <f t="shared" si="87"/>
        <v>1145300</v>
      </c>
      <c r="CD27" s="227">
        <v>60000</v>
      </c>
      <c r="CE27" s="15">
        <f t="shared" si="88"/>
        <v>1205300</v>
      </c>
      <c r="CH27" s="15">
        <f t="shared" si="89"/>
        <v>1205300</v>
      </c>
      <c r="CJ27" s="227">
        <v>14500</v>
      </c>
      <c r="CK27" s="15">
        <f t="shared" si="90"/>
        <v>1219800</v>
      </c>
      <c r="CM27" s="227">
        <v>-252</v>
      </c>
      <c r="CN27" s="15">
        <f t="shared" si="91"/>
        <v>1219548</v>
      </c>
      <c r="CP27" s="15">
        <v>1219548</v>
      </c>
      <c r="CR27" s="15">
        <v>0</v>
      </c>
      <c r="CS27" s="235">
        <f>CR27/CP27</f>
        <v>0</v>
      </c>
      <c r="CV27" s="15">
        <f t="shared" si="92"/>
        <v>0</v>
      </c>
      <c r="CY27" s="15">
        <f t="shared" si="93"/>
        <v>0</v>
      </c>
      <c r="DB27" s="15">
        <f t="shared" si="94"/>
        <v>0</v>
      </c>
      <c r="DD27" s="227">
        <v>96000</v>
      </c>
      <c r="DE27" s="15">
        <f t="shared" si="95"/>
        <v>96000</v>
      </c>
      <c r="DH27" s="15">
        <f t="shared" si="96"/>
        <v>96000</v>
      </c>
      <c r="DK27" s="15">
        <f t="shared" si="97"/>
        <v>96000</v>
      </c>
      <c r="DM27" s="227">
        <v>16000</v>
      </c>
      <c r="DN27" s="15">
        <f t="shared" si="98"/>
        <v>112000</v>
      </c>
      <c r="DQ27" s="15">
        <f t="shared" si="99"/>
        <v>112000</v>
      </c>
      <c r="DS27" s="15">
        <v>112000</v>
      </c>
      <c r="DU27" s="15">
        <v>0</v>
      </c>
      <c r="DV27" s="235">
        <f t="shared" si="100"/>
        <v>0</v>
      </c>
      <c r="DX27" s="15">
        <f t="shared" si="101"/>
        <v>0</v>
      </c>
      <c r="DZ27" s="227">
        <v>40500</v>
      </c>
      <c r="EA27" s="15">
        <f t="shared" si="102"/>
        <v>40500</v>
      </c>
      <c r="ED27" s="15">
        <f t="shared" si="103"/>
        <v>40500</v>
      </c>
      <c r="EF27" s="227">
        <f>58971-ED27</f>
        <v>18471</v>
      </c>
      <c r="EG27" s="15">
        <f t="shared" si="104"/>
        <v>58971</v>
      </c>
      <c r="EI27" s="15">
        <v>58971</v>
      </c>
      <c r="EL27" s="235">
        <f t="shared" si="46"/>
        <v>0</v>
      </c>
      <c r="EM27" s="227">
        <f>6*10436</f>
        <v>62616</v>
      </c>
      <c r="EN27" s="15">
        <f t="shared" si="111"/>
        <v>62616</v>
      </c>
      <c r="EQ27" s="15">
        <f t="shared" si="112"/>
        <v>62616</v>
      </c>
      <c r="ET27" s="15">
        <f t="shared" si="113"/>
        <v>62616</v>
      </c>
      <c r="EW27" s="15">
        <f t="shared" si="105"/>
        <v>62616</v>
      </c>
      <c r="EY27" s="227">
        <f>10436-EW27</f>
        <v>-52180</v>
      </c>
      <c r="EZ27" s="189">
        <f t="shared" si="106"/>
        <v>10436</v>
      </c>
      <c r="FB27" s="189">
        <v>10436</v>
      </c>
      <c r="FD27" s="289">
        <f>'[1]MODEL 2026'!$O$3</f>
        <v>452633.59999999998</v>
      </c>
      <c r="FE27" s="235">
        <f t="shared" ref="FE27:FE28" si="115">FD27/FB27</f>
        <v>43.372326561901112</v>
      </c>
      <c r="FG27" s="189">
        <f>EZ32+EZ33</f>
        <v>17079548.550000001</v>
      </c>
    </row>
    <row r="28" spans="1:163" outlineLevel="1">
      <c r="A28" s="1" t="s">
        <v>11</v>
      </c>
      <c r="B28" s="1" t="s">
        <v>42</v>
      </c>
      <c r="C28" s="4" t="s">
        <v>43</v>
      </c>
      <c r="D28" s="8">
        <v>0</v>
      </c>
      <c r="E28" s="28">
        <v>0</v>
      </c>
      <c r="F28" s="8">
        <v>114600</v>
      </c>
      <c r="G28" s="28">
        <v>100</v>
      </c>
      <c r="H28" s="9">
        <v>114600</v>
      </c>
      <c r="I28" s="14">
        <v>114600</v>
      </c>
      <c r="J28" s="14"/>
      <c r="L28" s="118">
        <v>0</v>
      </c>
      <c r="M28" s="17">
        <f>L28/F28-1</f>
        <v>-1</v>
      </c>
      <c r="N28" s="17">
        <f>L28/I28-1</f>
        <v>-1</v>
      </c>
      <c r="P28" s="15"/>
      <c r="Q28" s="15"/>
      <c r="R28" s="15"/>
      <c r="S28" s="15"/>
      <c r="X28" s="118">
        <v>110500</v>
      </c>
      <c r="Z28" s="118">
        <v>110500</v>
      </c>
      <c r="AB28" s="187">
        <f t="shared" si="78"/>
        <v>0</v>
      </c>
      <c r="AC28" s="187"/>
      <c r="AD28" s="118">
        <v>110500</v>
      </c>
      <c r="AE28" s="187"/>
      <c r="AF28" s="182"/>
      <c r="AG28" s="187"/>
      <c r="AH28" s="118">
        <v>110500</v>
      </c>
      <c r="AI28" s="187"/>
      <c r="AJ28" s="182"/>
      <c r="AL28" s="15">
        <v>110500</v>
      </c>
      <c r="AM28" s="189"/>
      <c r="AN28" s="15">
        <v>0</v>
      </c>
      <c r="AO28" s="17"/>
      <c r="AP28" s="17">
        <f t="shared" si="79"/>
        <v>0</v>
      </c>
      <c r="AQ28" s="17">
        <f t="shared" si="80"/>
        <v>0</v>
      </c>
      <c r="AZ28">
        <v>100000</v>
      </c>
      <c r="BA28" s="15">
        <f t="shared" si="81"/>
        <v>100000</v>
      </c>
      <c r="BD28" s="15">
        <f t="shared" si="39"/>
        <v>100000</v>
      </c>
      <c r="BG28" s="15">
        <f t="shared" si="114"/>
        <v>100000</v>
      </c>
      <c r="BJ28" s="15">
        <f t="shared" si="82"/>
        <v>100000</v>
      </c>
      <c r="BL28" s="15">
        <v>100000</v>
      </c>
      <c r="BM28" s="235">
        <f t="shared" si="42"/>
        <v>1</v>
      </c>
      <c r="BO28" s="15">
        <v>0</v>
      </c>
      <c r="BP28" s="235">
        <f t="shared" si="83"/>
        <v>0</v>
      </c>
      <c r="BR28" s="15">
        <v>14800</v>
      </c>
      <c r="BS28" s="15">
        <f t="shared" si="84"/>
        <v>14800</v>
      </c>
      <c r="BV28" s="15">
        <f t="shared" si="85"/>
        <v>14800</v>
      </c>
      <c r="BY28" s="15">
        <f t="shared" si="86"/>
        <v>14800</v>
      </c>
      <c r="BZ28" s="145"/>
      <c r="CB28" s="15">
        <f t="shared" si="87"/>
        <v>14800</v>
      </c>
      <c r="CE28" s="15">
        <f t="shared" si="88"/>
        <v>14800</v>
      </c>
      <c r="CH28" s="15">
        <f t="shared" si="89"/>
        <v>14800</v>
      </c>
      <c r="CK28" s="15">
        <f t="shared" si="90"/>
        <v>14800</v>
      </c>
      <c r="CN28" s="15">
        <f t="shared" si="91"/>
        <v>14800</v>
      </c>
      <c r="CP28" s="15">
        <v>14800</v>
      </c>
      <c r="CR28" s="15">
        <v>0</v>
      </c>
      <c r="CS28" s="235">
        <f>CR28/CP28</f>
        <v>0</v>
      </c>
      <c r="CV28" s="15">
        <f t="shared" si="92"/>
        <v>0</v>
      </c>
      <c r="CX28" s="227">
        <v>130000</v>
      </c>
      <c r="CY28" s="15">
        <f t="shared" si="93"/>
        <v>130000</v>
      </c>
      <c r="DB28" s="15">
        <f t="shared" si="94"/>
        <v>130000</v>
      </c>
      <c r="DE28" s="15">
        <f t="shared" si="95"/>
        <v>130000</v>
      </c>
      <c r="DG28" s="227">
        <v>22000</v>
      </c>
      <c r="DH28" s="15">
        <f t="shared" si="96"/>
        <v>152000</v>
      </c>
      <c r="DK28" s="15">
        <f t="shared" si="97"/>
        <v>152000</v>
      </c>
      <c r="DN28" s="15">
        <f t="shared" si="98"/>
        <v>152000</v>
      </c>
      <c r="DQ28" s="15">
        <v>151458</v>
      </c>
      <c r="DS28" s="15">
        <v>151458</v>
      </c>
      <c r="DU28" s="15">
        <v>100000</v>
      </c>
      <c r="DV28" s="235">
        <f t="shared" si="100"/>
        <v>0.66024904594012856</v>
      </c>
      <c r="DX28" s="15">
        <f t="shared" si="101"/>
        <v>100000</v>
      </c>
      <c r="EA28" s="15">
        <f t="shared" si="102"/>
        <v>100000</v>
      </c>
      <c r="ED28" s="15">
        <f t="shared" si="103"/>
        <v>100000</v>
      </c>
      <c r="EG28" s="15">
        <f t="shared" si="104"/>
        <v>100000</v>
      </c>
      <c r="EI28" s="15">
        <v>100000</v>
      </c>
      <c r="EL28" s="235">
        <f t="shared" si="46"/>
        <v>0</v>
      </c>
      <c r="EM28" s="227">
        <f>100000+19400</f>
        <v>119400</v>
      </c>
      <c r="EN28" s="15">
        <f>EK28+EM28</f>
        <v>119400</v>
      </c>
      <c r="EQ28" s="15">
        <f>EN28+EP28</f>
        <v>119400</v>
      </c>
      <c r="ET28" s="15">
        <f>EQ28+ES28</f>
        <v>119400</v>
      </c>
      <c r="EV28" s="227">
        <v>10000</v>
      </c>
      <c r="EW28" s="15">
        <f>ET28+EV28</f>
        <v>129400</v>
      </c>
      <c r="EZ28" s="189">
        <f>EW28+EY28</f>
        <v>129400</v>
      </c>
      <c r="FB28" s="189">
        <v>129400</v>
      </c>
      <c r="FE28" s="235">
        <f t="shared" si="115"/>
        <v>0</v>
      </c>
    </row>
    <row r="29" spans="1:163" outlineLevel="1">
      <c r="A29" s="1" t="s">
        <v>11</v>
      </c>
      <c r="B29" s="1" t="s">
        <v>44</v>
      </c>
      <c r="C29" s="4" t="s">
        <v>45</v>
      </c>
      <c r="D29" s="8">
        <v>803000</v>
      </c>
      <c r="E29" s="28">
        <v>100.09</v>
      </c>
      <c r="F29" s="8">
        <v>803731.54</v>
      </c>
      <c r="G29" s="28">
        <v>100</v>
      </c>
      <c r="H29" s="9">
        <v>803731.54</v>
      </c>
      <c r="I29" s="14">
        <v>803731.54</v>
      </c>
      <c r="J29" s="14"/>
      <c r="L29" s="118">
        <v>0</v>
      </c>
      <c r="M29" s="17">
        <f>L29/F29-1</f>
        <v>-1</v>
      </c>
      <c r="N29" s="17">
        <f>L29/I29-1</f>
        <v>-1</v>
      </c>
      <c r="P29" s="15"/>
      <c r="Q29" s="15"/>
      <c r="R29" s="15"/>
      <c r="S29" s="15"/>
      <c r="X29" s="118">
        <v>450000</v>
      </c>
      <c r="Z29" s="118">
        <v>450000</v>
      </c>
      <c r="AB29" s="187">
        <f t="shared" si="78"/>
        <v>0</v>
      </c>
      <c r="AC29" s="187"/>
      <c r="AD29" s="118">
        <v>450000</v>
      </c>
      <c r="AE29" s="187"/>
      <c r="AF29" s="182"/>
      <c r="AG29" s="187"/>
      <c r="AH29" s="118">
        <v>450000</v>
      </c>
      <c r="AI29" s="187"/>
      <c r="AJ29" s="182"/>
      <c r="AL29" s="15">
        <v>450000</v>
      </c>
      <c r="AM29" s="189"/>
      <c r="AN29" s="15">
        <v>0</v>
      </c>
      <c r="AO29" s="17"/>
      <c r="AP29" s="17">
        <f t="shared" si="79"/>
        <v>0</v>
      </c>
      <c r="AQ29" s="17">
        <f t="shared" si="80"/>
        <v>0</v>
      </c>
      <c r="AZ29">
        <v>81085</v>
      </c>
      <c r="BA29" s="15">
        <f t="shared" si="81"/>
        <v>81085</v>
      </c>
      <c r="BD29" s="15">
        <f t="shared" si="39"/>
        <v>81085</v>
      </c>
      <c r="BG29" s="15">
        <f t="shared" si="114"/>
        <v>81085</v>
      </c>
      <c r="BI29" s="227"/>
      <c r="BJ29" s="15"/>
      <c r="BN29" s="234"/>
      <c r="BO29" s="234"/>
      <c r="BS29" s="15">
        <f t="shared" si="84"/>
        <v>0</v>
      </c>
      <c r="BV29" s="15">
        <f t="shared" si="85"/>
        <v>0</v>
      </c>
      <c r="BY29" s="15">
        <f t="shared" si="86"/>
        <v>0</v>
      </c>
      <c r="BZ29" s="145"/>
      <c r="CB29" s="15">
        <f t="shared" si="87"/>
        <v>0</v>
      </c>
      <c r="CE29" s="15">
        <f t="shared" si="88"/>
        <v>0</v>
      </c>
      <c r="CH29" s="15">
        <f t="shared" si="89"/>
        <v>0</v>
      </c>
      <c r="CK29" s="15">
        <f t="shared" si="90"/>
        <v>0</v>
      </c>
      <c r="CN29" s="15">
        <f t="shared" si="91"/>
        <v>0</v>
      </c>
      <c r="CV29" s="15">
        <f t="shared" si="92"/>
        <v>0</v>
      </c>
      <c r="CY29" s="15">
        <f t="shared" si="93"/>
        <v>0</v>
      </c>
      <c r="DA29" s="227">
        <v>995684</v>
      </c>
      <c r="DB29" s="15">
        <f t="shared" si="94"/>
        <v>995684</v>
      </c>
      <c r="DE29" s="15">
        <f t="shared" si="95"/>
        <v>995684</v>
      </c>
      <c r="DH29" s="15">
        <f t="shared" si="96"/>
        <v>995684</v>
      </c>
      <c r="DK29" s="15">
        <f t="shared" si="97"/>
        <v>995684</v>
      </c>
      <c r="DM29" s="15">
        <v>-52</v>
      </c>
      <c r="DN29" s="15">
        <f t="shared" si="98"/>
        <v>995632</v>
      </c>
      <c r="DQ29" s="15">
        <f t="shared" si="99"/>
        <v>995632</v>
      </c>
      <c r="DS29" s="15">
        <v>995632</v>
      </c>
      <c r="DU29" s="15">
        <v>0</v>
      </c>
      <c r="DV29" s="235">
        <f t="shared" si="100"/>
        <v>0</v>
      </c>
      <c r="DX29" s="15">
        <f t="shared" ref="DX29:DX31" si="116">DU29+DW29</f>
        <v>0</v>
      </c>
      <c r="EA29" s="15">
        <f t="shared" si="102"/>
        <v>0</v>
      </c>
      <c r="ED29" s="15">
        <f t="shared" si="103"/>
        <v>0</v>
      </c>
      <c r="EG29" s="15">
        <f t="shared" si="104"/>
        <v>0</v>
      </c>
      <c r="EN29" s="15">
        <f t="shared" si="111"/>
        <v>0</v>
      </c>
      <c r="EQ29" s="15">
        <f t="shared" ref="EQ29:EQ32" si="117">EN29+EP29</f>
        <v>0</v>
      </c>
      <c r="ET29" s="15">
        <f t="shared" ref="ET29:ET32" si="118">EQ29+ES29</f>
        <v>0</v>
      </c>
      <c r="EW29" s="15">
        <f t="shared" ref="EW29:EW31" si="119">ET29+EV29</f>
        <v>0</v>
      </c>
      <c r="EZ29" s="189">
        <f t="shared" ref="EZ29:EZ31" si="120">EW29+EY29</f>
        <v>0</v>
      </c>
    </row>
    <row r="30" spans="1:163" outlineLevel="1">
      <c r="A30" s="1" t="s">
        <v>11</v>
      </c>
      <c r="B30" s="1" t="s">
        <v>410</v>
      </c>
      <c r="C30" s="4" t="s">
        <v>409</v>
      </c>
      <c r="D30" s="8"/>
      <c r="E30" s="28"/>
      <c r="F30" s="8"/>
      <c r="G30" s="28"/>
      <c r="H30" s="9"/>
      <c r="I30" s="14"/>
      <c r="J30" s="14"/>
      <c r="M30" s="17"/>
      <c r="N30" s="17"/>
      <c r="P30" s="15"/>
      <c r="Q30" s="15"/>
      <c r="R30" s="15"/>
      <c r="S30" s="15"/>
      <c r="X30" s="118">
        <v>100000</v>
      </c>
      <c r="Z30" s="118">
        <v>100000</v>
      </c>
      <c r="AB30" s="187">
        <f t="shared" si="78"/>
        <v>0</v>
      </c>
      <c r="AC30" s="187"/>
      <c r="AD30" s="118">
        <v>100000</v>
      </c>
      <c r="AE30" s="187"/>
      <c r="AF30" s="182"/>
      <c r="AG30" s="187"/>
      <c r="AH30" s="118">
        <v>100000</v>
      </c>
      <c r="AI30" s="187"/>
      <c r="AJ30" s="182"/>
      <c r="AL30" s="15">
        <v>100000</v>
      </c>
      <c r="AM30" s="189"/>
      <c r="AN30" s="15">
        <v>0</v>
      </c>
      <c r="AO30" s="17"/>
      <c r="AP30" s="17">
        <f t="shared" si="79"/>
        <v>0</v>
      </c>
      <c r="AQ30" s="17">
        <f t="shared" si="80"/>
        <v>0</v>
      </c>
      <c r="BA30" s="15">
        <f t="shared" si="81"/>
        <v>0</v>
      </c>
      <c r="BD30" s="15">
        <f t="shared" si="39"/>
        <v>0</v>
      </c>
      <c r="BG30" s="15">
        <f t="shared" si="114"/>
        <v>0</v>
      </c>
      <c r="BJ30" s="15">
        <f t="shared" si="82"/>
        <v>0</v>
      </c>
      <c r="BS30" s="15">
        <f t="shared" si="84"/>
        <v>0</v>
      </c>
      <c r="BV30" s="15">
        <f t="shared" si="85"/>
        <v>0</v>
      </c>
      <c r="BY30" s="15">
        <f t="shared" si="86"/>
        <v>0</v>
      </c>
      <c r="BZ30" s="145"/>
      <c r="CB30" s="15">
        <f t="shared" si="87"/>
        <v>0</v>
      </c>
      <c r="CE30" s="15">
        <f t="shared" si="88"/>
        <v>0</v>
      </c>
      <c r="CH30" s="15">
        <f t="shared" si="89"/>
        <v>0</v>
      </c>
      <c r="CK30" s="15">
        <f t="shared" si="90"/>
        <v>0</v>
      </c>
      <c r="CN30" s="15">
        <f t="shared" si="91"/>
        <v>0</v>
      </c>
      <c r="CV30" s="15">
        <f t="shared" si="92"/>
        <v>0</v>
      </c>
      <c r="CY30" s="15">
        <f t="shared" si="93"/>
        <v>0</v>
      </c>
      <c r="DB30" s="15">
        <f t="shared" si="94"/>
        <v>0</v>
      </c>
      <c r="DE30" s="15">
        <f t="shared" si="95"/>
        <v>0</v>
      </c>
      <c r="DH30" s="15">
        <f t="shared" si="96"/>
        <v>0</v>
      </c>
      <c r="DK30" s="15">
        <f t="shared" si="97"/>
        <v>0</v>
      </c>
      <c r="DN30" s="15">
        <f t="shared" si="98"/>
        <v>0</v>
      </c>
      <c r="DQ30" s="15">
        <f t="shared" si="99"/>
        <v>0</v>
      </c>
      <c r="DS30" s="15">
        <v>0</v>
      </c>
      <c r="DX30" s="15">
        <f t="shared" si="116"/>
        <v>0</v>
      </c>
      <c r="EA30" s="15">
        <f t="shared" si="102"/>
        <v>0</v>
      </c>
      <c r="ED30" s="15">
        <f t="shared" si="103"/>
        <v>0</v>
      </c>
      <c r="EG30" s="15">
        <f t="shared" si="104"/>
        <v>0</v>
      </c>
      <c r="EN30" s="15">
        <f t="shared" si="111"/>
        <v>0</v>
      </c>
      <c r="EQ30" s="15">
        <f t="shared" si="117"/>
        <v>0</v>
      </c>
      <c r="ET30" s="15">
        <f t="shared" si="118"/>
        <v>0</v>
      </c>
      <c r="EW30" s="15">
        <f t="shared" si="119"/>
        <v>0</v>
      </c>
      <c r="EZ30" s="189">
        <f t="shared" si="120"/>
        <v>0</v>
      </c>
    </row>
    <row r="31" spans="1:163" outlineLevel="1">
      <c r="A31" s="1" t="s">
        <v>11</v>
      </c>
      <c r="B31" s="1" t="s">
        <v>555</v>
      </c>
      <c r="C31" s="4" t="s">
        <v>556</v>
      </c>
      <c r="D31" s="8">
        <v>5455100</v>
      </c>
      <c r="E31" s="28">
        <v>91.76</v>
      </c>
      <c r="F31" s="8">
        <v>5669374.3399999999</v>
      </c>
      <c r="G31" s="28">
        <v>88.29</v>
      </c>
      <c r="H31" s="9">
        <v>5005574.6500000004</v>
      </c>
      <c r="I31" s="14"/>
      <c r="J31" s="14"/>
      <c r="P31" s="15"/>
      <c r="Q31" s="15"/>
      <c r="R31" s="15"/>
      <c r="S31" s="15"/>
      <c r="AF31" s="182"/>
      <c r="AJ31" s="182"/>
      <c r="BD31" s="15"/>
      <c r="BX31" s="227">
        <v>241888.89</v>
      </c>
      <c r="BY31" s="15">
        <f t="shared" si="86"/>
        <v>241888.89</v>
      </c>
      <c r="BZ31" s="145"/>
      <c r="CB31" s="15">
        <f t="shared" si="87"/>
        <v>241888.89</v>
      </c>
      <c r="CE31" s="15">
        <f t="shared" si="88"/>
        <v>241888.89</v>
      </c>
      <c r="CH31" s="15">
        <f t="shared" si="89"/>
        <v>241888.89</v>
      </c>
      <c r="CK31" s="15">
        <f t="shared" si="90"/>
        <v>241888.89</v>
      </c>
      <c r="CM31" s="227">
        <v>-241889</v>
      </c>
      <c r="CN31" s="15">
        <f t="shared" si="91"/>
        <v>-0.10999999998603016</v>
      </c>
      <c r="CR31" s="15">
        <v>241888.89</v>
      </c>
      <c r="CS31" s="235" t="e">
        <f>CR31/CP31</f>
        <v>#DIV/0!</v>
      </c>
      <c r="CV31" s="15">
        <f t="shared" si="92"/>
        <v>241888.89</v>
      </c>
      <c r="CX31" s="227">
        <v>-241889</v>
      </c>
      <c r="CY31" s="15">
        <f t="shared" si="93"/>
        <v>-0.10999999998603016</v>
      </c>
      <c r="DB31" s="15">
        <f t="shared" si="94"/>
        <v>-0.10999999998603016</v>
      </c>
      <c r="DE31" s="15">
        <f t="shared" si="95"/>
        <v>-0.10999999998603016</v>
      </c>
      <c r="DH31" s="15">
        <f t="shared" si="96"/>
        <v>-0.10999999998603016</v>
      </c>
      <c r="DK31" s="15">
        <f t="shared" si="97"/>
        <v>-0.10999999998603016</v>
      </c>
      <c r="DN31" s="15">
        <f t="shared" si="98"/>
        <v>-0.10999999998603016</v>
      </c>
      <c r="DQ31" s="15">
        <f t="shared" si="99"/>
        <v>-0.10999999998603016</v>
      </c>
      <c r="DS31" s="15">
        <v>0</v>
      </c>
      <c r="DX31" s="15">
        <f t="shared" si="116"/>
        <v>0</v>
      </c>
      <c r="EA31" s="15">
        <f t="shared" si="102"/>
        <v>0</v>
      </c>
      <c r="ED31" s="15">
        <f t="shared" si="103"/>
        <v>0</v>
      </c>
      <c r="EG31" s="15">
        <f t="shared" si="104"/>
        <v>0</v>
      </c>
      <c r="EK31" s="424"/>
      <c r="EL31" s="235" t="e">
        <f t="shared" ref="EL31" si="121">EK31/EI31</f>
        <v>#DIV/0!</v>
      </c>
      <c r="EM31" s="346">
        <v>18929548.550000001</v>
      </c>
      <c r="EN31" s="189">
        <f t="shared" si="111"/>
        <v>18929548.550000001</v>
      </c>
      <c r="EP31" s="346">
        <v>-18929548.550000001</v>
      </c>
      <c r="EQ31" s="15">
        <f t="shared" si="117"/>
        <v>0</v>
      </c>
      <c r="ES31" s="189"/>
      <c r="ET31" s="15">
        <f t="shared" si="118"/>
        <v>0</v>
      </c>
      <c r="EV31" s="189"/>
      <c r="EW31" s="15">
        <f t="shared" si="119"/>
        <v>0</v>
      </c>
      <c r="EY31" s="189"/>
      <c r="EZ31" s="189">
        <f t="shared" si="120"/>
        <v>0</v>
      </c>
      <c r="FD31" s="424"/>
      <c r="FE31" s="235" t="e">
        <f t="shared" ref="FE31" si="122">FD31/FB31</f>
        <v>#DIV/0!</v>
      </c>
    </row>
    <row r="32" spans="1:163" outlineLevel="1">
      <c r="A32" s="1" t="s">
        <v>11</v>
      </c>
      <c r="B32" s="1" t="s">
        <v>44</v>
      </c>
      <c r="C32" s="4" t="s">
        <v>706</v>
      </c>
      <c r="D32" s="8"/>
      <c r="E32" s="28"/>
      <c r="F32" s="8"/>
      <c r="G32" s="28"/>
      <c r="H32" s="9"/>
      <c r="I32" s="14"/>
      <c r="J32" s="14"/>
      <c r="P32" s="15"/>
      <c r="Q32" s="15"/>
      <c r="R32" s="15"/>
      <c r="S32" s="15"/>
      <c r="AF32" s="182"/>
      <c r="AJ32" s="182"/>
      <c r="BD32" s="15"/>
      <c r="BX32" s="227"/>
      <c r="BY32" s="15"/>
      <c r="BZ32" s="145"/>
      <c r="CB32" s="15"/>
      <c r="CE32" s="15"/>
      <c r="CH32" s="15"/>
      <c r="CK32" s="15"/>
      <c r="CM32" s="227"/>
      <c r="CN32" s="15"/>
      <c r="CS32" s="235"/>
      <c r="CV32" s="15"/>
      <c r="CX32" s="227"/>
      <c r="CY32" s="15"/>
      <c r="DB32" s="15"/>
      <c r="DE32" s="15"/>
      <c r="DH32" s="15"/>
      <c r="DK32" s="15"/>
      <c r="DN32" s="15"/>
      <c r="DQ32" s="15"/>
      <c r="DX32" s="15"/>
      <c r="EA32" s="15"/>
      <c r="ED32" s="15"/>
      <c r="EG32" s="15"/>
      <c r="EK32" s="424"/>
      <c r="EL32" s="235"/>
      <c r="EM32" s="346"/>
      <c r="EN32" s="189"/>
      <c r="EP32" s="346">
        <v>18929548.550000001</v>
      </c>
      <c r="EQ32" s="189">
        <f t="shared" si="117"/>
        <v>18929548.550000001</v>
      </c>
      <c r="ES32" s="346">
        <v>-1850000</v>
      </c>
      <c r="ET32" s="189">
        <f t="shared" si="118"/>
        <v>17079548.550000001</v>
      </c>
      <c r="EV32" s="15">
        <v>0</v>
      </c>
      <c r="EW32" s="189">
        <f>ET32+EV32</f>
        <v>17079548.550000001</v>
      </c>
      <c r="EY32" s="227">
        <v>-13492843</v>
      </c>
      <c r="EZ32" s="189">
        <f>EW32+EY32</f>
        <v>3586705.5500000007</v>
      </c>
      <c r="FB32" s="189">
        <v>7191237.5599999996</v>
      </c>
      <c r="FD32" s="424">
        <f>6778699.12+3558371.55</f>
        <v>10337070.67</v>
      </c>
      <c r="FE32" s="235"/>
    </row>
    <row r="33" spans="1:161" outlineLevel="1">
      <c r="A33" s="1" t="s">
        <v>11</v>
      </c>
      <c r="B33" s="1" t="s">
        <v>717</v>
      </c>
      <c r="C33" s="4" t="s">
        <v>718</v>
      </c>
      <c r="D33" s="8"/>
      <c r="E33" s="28"/>
      <c r="F33" s="8"/>
      <c r="G33" s="28"/>
      <c r="H33" s="9"/>
      <c r="I33" s="14"/>
      <c r="J33" s="14"/>
      <c r="P33" s="15"/>
      <c r="Q33" s="15"/>
      <c r="R33" s="15"/>
      <c r="S33" s="15"/>
      <c r="AF33" s="182"/>
      <c r="AJ33" s="182"/>
      <c r="BD33" s="15"/>
      <c r="BX33" s="227"/>
      <c r="BY33" s="15"/>
      <c r="BZ33" s="145"/>
      <c r="CB33" s="15"/>
      <c r="CE33" s="15"/>
      <c r="CH33" s="15"/>
      <c r="CK33" s="15"/>
      <c r="CM33" s="227"/>
      <c r="CN33" s="15"/>
      <c r="CS33" s="235"/>
      <c r="CV33" s="15"/>
      <c r="CX33" s="227"/>
      <c r="CY33" s="15"/>
      <c r="DB33" s="15"/>
      <c r="DE33" s="15"/>
      <c r="DH33" s="15"/>
      <c r="DK33" s="15"/>
      <c r="DN33" s="15"/>
      <c r="DQ33" s="15"/>
      <c r="DX33" s="15"/>
      <c r="EA33" s="15"/>
      <c r="ED33" s="15"/>
      <c r="EG33" s="15"/>
      <c r="EK33" s="424"/>
      <c r="EL33" s="235"/>
      <c r="EM33" s="346"/>
      <c r="EN33" s="189"/>
      <c r="EP33" s="346"/>
      <c r="EQ33" s="189"/>
      <c r="ES33" s="346"/>
      <c r="ET33" s="189"/>
      <c r="EW33" s="189"/>
      <c r="EY33" s="227">
        <f>-1*EY32</f>
        <v>13492843</v>
      </c>
      <c r="EZ33" s="189">
        <f>EW33+EY33</f>
        <v>13492843</v>
      </c>
      <c r="FD33" s="424"/>
      <c r="FE33" s="235"/>
    </row>
    <row r="34" spans="1:161" outlineLevel="1">
      <c r="A34" s="1" t="s">
        <v>47</v>
      </c>
      <c r="B34" s="4" t="s">
        <v>48</v>
      </c>
      <c r="C34" s="4" t="s">
        <v>0</v>
      </c>
      <c r="D34" s="8">
        <v>5455100</v>
      </c>
      <c r="E34" s="28">
        <v>91.76</v>
      </c>
      <c r="F34" s="8">
        <v>5669374.3399999999</v>
      </c>
      <c r="G34" s="28">
        <v>88.29</v>
      </c>
      <c r="H34" s="9">
        <v>5005574.6500000004</v>
      </c>
      <c r="I34" s="14"/>
      <c r="J34" s="14"/>
      <c r="P34" s="15"/>
      <c r="Q34" s="15"/>
      <c r="R34" s="15"/>
      <c r="S34" s="15"/>
      <c r="AF34" s="182"/>
      <c r="AJ34" s="182"/>
      <c r="BD34" s="15"/>
      <c r="BZ34" s="145"/>
    </row>
    <row r="35" spans="1:161" ht="15.75" thickBot="1">
      <c r="A35" s="24"/>
      <c r="B35" s="25" t="s">
        <v>272</v>
      </c>
      <c r="C35" s="25" t="s">
        <v>293</v>
      </c>
      <c r="D35" s="22">
        <f>SUM(D24:D29)+D111+D112</f>
        <v>929800</v>
      </c>
      <c r="E35" s="30"/>
      <c r="F35" s="22">
        <f>SUM(F24:F29)+F111+F112</f>
        <v>1074131.54</v>
      </c>
      <c r="G35" s="30"/>
      <c r="H35" s="22"/>
      <c r="I35" s="22">
        <f>SUM(I24:I29)+I111+I112</f>
        <v>2152634.54</v>
      </c>
      <c r="J35" s="22"/>
      <c r="K35" s="20"/>
      <c r="L35" s="166">
        <f>SUM(L24:L29)+L111+L112</f>
        <v>76800</v>
      </c>
      <c r="M35" s="23">
        <f>L35/F35-1</f>
        <v>-0.92850037715120071</v>
      </c>
      <c r="N35" s="23">
        <f>L35/I35-1</f>
        <v>-0.96432278746210209</v>
      </c>
      <c r="P35" s="144">
        <f>L35</f>
        <v>76800</v>
      </c>
      <c r="Q35" s="144">
        <f>P35</f>
        <v>76800</v>
      </c>
      <c r="R35" s="144">
        <f>Q35</f>
        <v>76800</v>
      </c>
      <c r="S35" s="144">
        <f>R35</f>
        <v>76800</v>
      </c>
      <c r="U35" s="165">
        <f>739000+U27</f>
        <v>824500</v>
      </c>
      <c r="X35" s="165">
        <f>SUM(X24:X34)</f>
        <v>1304250</v>
      </c>
      <c r="Z35" s="165">
        <f>SUM(Z24:Z34)</f>
        <v>1304250</v>
      </c>
      <c r="AD35" s="165">
        <f>SUM(AD24:AD34)</f>
        <v>1304250</v>
      </c>
      <c r="AF35" s="182"/>
      <c r="AH35" s="165">
        <f>SUM(AH24:AH34)</f>
        <v>1304250</v>
      </c>
      <c r="AJ35" s="182"/>
      <c r="AL35" s="165">
        <f>SUM(AL24:AL34)</f>
        <v>1296911</v>
      </c>
      <c r="AM35" s="191"/>
      <c r="AN35" s="165">
        <f>SUM(AN24:AN34)</f>
        <v>84000</v>
      </c>
      <c r="AO35" s="17">
        <f t="shared" ref="AO35" si="123">AN35/L35-1</f>
        <v>9.375E-2</v>
      </c>
      <c r="AP35" s="17">
        <f t="shared" ref="AP35" si="124">AN35/AH35-1</f>
        <v>-0.93559516963772282</v>
      </c>
      <c r="AQ35" s="17">
        <f t="shared" ref="AQ35" si="125">AN35/AL35-1</f>
        <v>-0.93523071359561294</v>
      </c>
      <c r="AZ35" s="165">
        <f>SUM(AZ24:AZ34)</f>
        <v>211541.07</v>
      </c>
      <c r="BA35" s="165">
        <f>SUM(BA24:BA34)</f>
        <v>295541.07</v>
      </c>
      <c r="BD35" s="165">
        <f>SUM(BD24:BD34)</f>
        <v>295541.07</v>
      </c>
      <c r="BF35" s="165">
        <f>SUM(BF24:BF34)</f>
        <v>49297.26</v>
      </c>
      <c r="BG35" s="165">
        <f>SUM(BG24:BG34)</f>
        <v>344838.33</v>
      </c>
      <c r="BI35" s="165">
        <f>SUM(BI24:BI34)</f>
        <v>63687.91</v>
      </c>
      <c r="BJ35" s="165">
        <f>SUM(BJ24:BJ34)</f>
        <v>408526.24</v>
      </c>
      <c r="BL35" s="166">
        <f>SUM(BL24:BL34)</f>
        <v>407471.24</v>
      </c>
      <c r="BM35" s="240">
        <f>BL35/BJ35</f>
        <v>0.99741754654486825</v>
      </c>
      <c r="BO35" s="165">
        <f>SUM(BO24:BO34)</f>
        <v>1228300</v>
      </c>
      <c r="BP35" s="240">
        <f>BO35/BL35</f>
        <v>3.0144458784379484</v>
      </c>
      <c r="BR35" s="165">
        <f t="shared" ref="BR35:BS35" si="126">SUM(BR24:BR34)</f>
        <v>32726.07</v>
      </c>
      <c r="BS35" s="165">
        <f t="shared" si="126"/>
        <v>1261026.07</v>
      </c>
      <c r="BU35" s="165">
        <f t="shared" ref="BU35:BV35" si="127">SUM(BU24:BU34)</f>
        <v>674</v>
      </c>
      <c r="BV35" s="165">
        <f t="shared" si="127"/>
        <v>1261700.07</v>
      </c>
      <c r="BX35" s="165">
        <f t="shared" ref="BX35:BY35" si="128">SUM(BX24:BX34)</f>
        <v>241888.89</v>
      </c>
      <c r="BY35" s="165">
        <f t="shared" si="128"/>
        <v>1503588.96</v>
      </c>
      <c r="BZ35" s="145"/>
      <c r="CA35" s="319">
        <f t="shared" ref="CA35:CB35" si="129">SUM(CA24:CA34)</f>
        <v>0</v>
      </c>
      <c r="CB35" s="165">
        <f t="shared" si="129"/>
        <v>1503588.96</v>
      </c>
      <c r="CD35" s="165">
        <f t="shared" ref="CD35:CE35" si="130">SUM(CD24:CD34)</f>
        <v>101000</v>
      </c>
      <c r="CE35" s="165">
        <f t="shared" si="130"/>
        <v>1604588.96</v>
      </c>
      <c r="CG35" s="165">
        <f t="shared" ref="CG35:CH35" si="131">SUM(CG24:CG34)</f>
        <v>0</v>
      </c>
      <c r="CH35" s="165">
        <f t="shared" si="131"/>
        <v>1604588.96</v>
      </c>
      <c r="CJ35" s="165">
        <f t="shared" ref="CJ35:CK35" si="132">SUM(CJ24:CJ34)</f>
        <v>14500</v>
      </c>
      <c r="CK35" s="165">
        <f t="shared" si="132"/>
        <v>1619088.96</v>
      </c>
      <c r="CM35" s="165">
        <f t="shared" ref="CM35:CN35" si="133">SUM(CM24:CM34)</f>
        <v>-241741.08</v>
      </c>
      <c r="CN35" s="165">
        <f t="shared" si="133"/>
        <v>1377347.88</v>
      </c>
      <c r="CP35" s="165">
        <f>SUM(CP24:CP34)</f>
        <v>1377347.92</v>
      </c>
      <c r="CR35" s="165">
        <f t="shared" ref="CR35" si="134">SUM(CR24:CR34)</f>
        <v>365188.89</v>
      </c>
      <c r="CS35" s="240">
        <f>CR35/CP35</f>
        <v>0.26513917413110843</v>
      </c>
      <c r="CU35" s="165">
        <f t="shared" ref="CU35:CV35" si="135">SUM(CU24:CU34)</f>
        <v>0</v>
      </c>
      <c r="CV35" s="165">
        <f t="shared" si="135"/>
        <v>365188.89</v>
      </c>
      <c r="CX35" s="165">
        <f>SUM(CX24:CX34)</f>
        <v>129761</v>
      </c>
      <c r="CY35" s="165">
        <f>SUM(CY24:CY34)</f>
        <v>494949.89</v>
      </c>
      <c r="DA35" s="165">
        <f>SUM(DA24:DA34)</f>
        <v>995684</v>
      </c>
      <c r="DB35" s="165">
        <f>SUM(DB24:DB34)</f>
        <v>1490633.8900000001</v>
      </c>
      <c r="DD35" s="165">
        <f>SUM(DD24:DD34)</f>
        <v>96000</v>
      </c>
      <c r="DE35" s="165">
        <f>SUM(DE24:DE34)</f>
        <v>1586633.8900000001</v>
      </c>
      <c r="DG35" s="165">
        <f>SUM(DG24:DG34)</f>
        <v>22000</v>
      </c>
      <c r="DH35" s="165">
        <f>SUM(DH24:DH34)</f>
        <v>1608633.8900000001</v>
      </c>
      <c r="DJ35" s="165">
        <f>SUM(DJ24:DJ34)</f>
        <v>0</v>
      </c>
      <c r="DK35" s="165">
        <f>SUM(DK24:DK34)</f>
        <v>1608633.8900000001</v>
      </c>
      <c r="DM35" s="165">
        <f>SUM(DM24:DM34)</f>
        <v>15948</v>
      </c>
      <c r="DN35" s="165">
        <f>SUM(DN24:DN34)</f>
        <v>1624581.8900000001</v>
      </c>
      <c r="DP35" s="165">
        <f>SUM(DP24:DP34)</f>
        <v>0</v>
      </c>
      <c r="DQ35" s="165">
        <f>SUM(DQ24:DQ34)</f>
        <v>1624039.8900000001</v>
      </c>
      <c r="DS35" s="165">
        <f>SUM(DS24:DS34)</f>
        <v>1624040</v>
      </c>
      <c r="DU35" s="165">
        <f>SUM(DU24:DU34)</f>
        <v>179700</v>
      </c>
      <c r="DV35" s="235">
        <f t="shared" ref="DV35" si="136">DU35/DS35</f>
        <v>0.1106499839905421</v>
      </c>
      <c r="DW35" s="165">
        <f>SUM(DW24:DW34)</f>
        <v>0</v>
      </c>
      <c r="DX35" s="165">
        <f>SUM(DX24:DX34)</f>
        <v>179700</v>
      </c>
      <c r="DY35" s="15">
        <f>DX35-DW35</f>
        <v>179700</v>
      </c>
      <c r="DZ35" s="165">
        <f>SUM(DZ24:DZ34)</f>
        <v>72500</v>
      </c>
      <c r="EA35" s="165">
        <f>SUM(EA24:EA34)</f>
        <v>252200</v>
      </c>
      <c r="EC35" s="165">
        <f>SUM(EC24:EC34)</f>
        <v>48000</v>
      </c>
      <c r="ED35" s="165">
        <f>SUM(ED24:ED34)</f>
        <v>300200</v>
      </c>
      <c r="EF35" s="165">
        <f>SUM(EF24:EF34)</f>
        <v>18471</v>
      </c>
      <c r="EG35" s="165">
        <f>SUM(EG24:EG34)</f>
        <v>318671</v>
      </c>
      <c r="EI35" s="165">
        <f>SUM(EI24:EI34)</f>
        <v>318671</v>
      </c>
      <c r="EK35" s="165">
        <f>SUM(EK24:EK34)</f>
        <v>80300</v>
      </c>
      <c r="EM35" s="165">
        <f>SUM(EM24:EM34)</f>
        <v>19111564.550000001</v>
      </c>
      <c r="EN35" s="165">
        <f>SUM(EN24:EN34)</f>
        <v>19191864.550000001</v>
      </c>
      <c r="EP35" s="165">
        <f>SUM(EP24:EP34)</f>
        <v>0</v>
      </c>
      <c r="EQ35" s="165">
        <f>SUM(EQ24:EQ34)</f>
        <v>19191864.550000001</v>
      </c>
      <c r="ES35" s="165">
        <f>SUM(ES24:ES34)</f>
        <v>-1850000</v>
      </c>
      <c r="ET35" s="165">
        <f>SUM(ET24:ET34)</f>
        <v>17341864.550000001</v>
      </c>
      <c r="EV35" s="165">
        <f>SUM(EV24:EV34)</f>
        <v>42500</v>
      </c>
      <c r="EW35" s="165">
        <f>SUM(EW24:EW34)</f>
        <v>17384364.550000001</v>
      </c>
      <c r="EY35" s="165">
        <f>SUM(EY24:EY34)</f>
        <v>-52180</v>
      </c>
      <c r="EZ35" s="166">
        <f>SUM(EZ24:EZ34)</f>
        <v>17332184.550000001</v>
      </c>
      <c r="FB35" s="166">
        <f>SUM(FB24:FB34)+FB110</f>
        <v>7478873.5599999996</v>
      </c>
      <c r="FD35" s="165">
        <f>SUM(FD24:FD34)</f>
        <v>10872504.27</v>
      </c>
      <c r="FE35" s="235">
        <f t="shared" ref="FE35:FE37" si="137">FD35/FB35</f>
        <v>1.4537622788745208</v>
      </c>
    </row>
    <row r="36" spans="1:161" ht="15.75" outlineLevel="1" thickTop="1">
      <c r="A36" s="10" t="s">
        <v>0</v>
      </c>
      <c r="P36" s="15"/>
      <c r="Q36" s="15"/>
      <c r="R36" s="15"/>
      <c r="S36" s="15"/>
      <c r="AF36" s="182"/>
      <c r="AJ36" s="182"/>
      <c r="AT36" t="s">
        <v>430</v>
      </c>
      <c r="AV36">
        <v>2021</v>
      </c>
      <c r="BD36" s="15">
        <f t="shared" si="39"/>
        <v>0</v>
      </c>
      <c r="BG36" s="15">
        <f t="shared" ref="BG36:BG97" si="138">BD36</f>
        <v>0</v>
      </c>
      <c r="BJ36" s="15">
        <f t="shared" ref="BJ36:BJ97" si="139">BG36+BI36</f>
        <v>0</v>
      </c>
      <c r="BZ36" s="145"/>
    </row>
    <row r="37" spans="1:161" outlineLevel="1">
      <c r="A37" s="1" t="s">
        <v>49</v>
      </c>
      <c r="B37" s="1" t="s">
        <v>50</v>
      </c>
      <c r="C37" s="4" t="s">
        <v>51</v>
      </c>
      <c r="D37" s="8">
        <v>30000</v>
      </c>
      <c r="E37" s="28">
        <v>0</v>
      </c>
      <c r="F37" s="8">
        <v>30000</v>
      </c>
      <c r="G37" s="28">
        <v>0</v>
      </c>
      <c r="H37" s="9">
        <v>0</v>
      </c>
      <c r="I37" s="14">
        <v>29450</v>
      </c>
      <c r="J37" s="14"/>
      <c r="L37" s="118">
        <v>38000</v>
      </c>
      <c r="M37" s="17">
        <f>L37/F37-1</f>
        <v>0.26666666666666661</v>
      </c>
      <c r="N37" s="17">
        <f>L37/I37-1</f>
        <v>0.29032258064516125</v>
      </c>
      <c r="P37" s="15" t="s">
        <v>312</v>
      </c>
      <c r="Q37" s="15" t="s">
        <v>312</v>
      </c>
      <c r="R37" s="15" t="s">
        <v>312</v>
      </c>
      <c r="S37" s="15" t="s">
        <v>312</v>
      </c>
      <c r="U37" s="118">
        <v>38000</v>
      </c>
      <c r="X37" s="118">
        <v>38000</v>
      </c>
      <c r="Z37" s="118">
        <v>37020</v>
      </c>
      <c r="AB37" s="187">
        <f t="shared" ref="AB37" si="140">Z37-X37</f>
        <v>-980</v>
      </c>
      <c r="AC37" s="187"/>
      <c r="AD37" s="118">
        <v>37020</v>
      </c>
      <c r="AE37" s="187"/>
      <c r="AF37" s="182"/>
      <c r="AG37" s="187"/>
      <c r="AH37" s="118">
        <v>37020</v>
      </c>
      <c r="AI37" s="187"/>
      <c r="AJ37" s="182"/>
      <c r="AK37" t="s">
        <v>424</v>
      </c>
      <c r="AL37" s="15">
        <v>37020</v>
      </c>
      <c r="AN37" s="15">
        <v>56000</v>
      </c>
      <c r="AO37" s="17">
        <f t="shared" ref="AO37" si="141">AN37/L37-1</f>
        <v>0.47368421052631571</v>
      </c>
      <c r="AP37" s="17">
        <f t="shared" ref="AP37" si="142">AN37/AH37-1</f>
        <v>0.51269584008643987</v>
      </c>
      <c r="AQ37" s="17">
        <f t="shared" ref="AQ37" si="143">AN37/AL37-1</f>
        <v>0.51269584008643987</v>
      </c>
      <c r="AR37" t="s">
        <v>426</v>
      </c>
      <c r="AS37">
        <v>29450</v>
      </c>
      <c r="AT37" t="s">
        <v>427</v>
      </c>
      <c r="AV37" t="s">
        <v>433</v>
      </c>
      <c r="AW37">
        <v>39238</v>
      </c>
      <c r="AX37" t="s">
        <v>427</v>
      </c>
      <c r="BA37" s="15">
        <f t="shared" ref="BA37" si="144">AN37+AZ37</f>
        <v>56000</v>
      </c>
      <c r="BD37" s="15">
        <f t="shared" si="39"/>
        <v>56000</v>
      </c>
      <c r="BG37" s="15">
        <f t="shared" si="138"/>
        <v>56000</v>
      </c>
      <c r="BJ37" s="15">
        <f t="shared" si="139"/>
        <v>56000</v>
      </c>
      <c r="BL37" s="15">
        <v>48872</v>
      </c>
      <c r="BM37" s="235">
        <f t="shared" ref="BM37" si="145">BL37/BJ37</f>
        <v>0.87271428571428566</v>
      </c>
      <c r="BO37" s="15">
        <v>57800</v>
      </c>
      <c r="BP37" s="235">
        <f>BO37/BL37</f>
        <v>1.1826812899001473</v>
      </c>
      <c r="BS37" s="15">
        <f t="shared" ref="BS37" si="146">BO37+BR37</f>
        <v>57800</v>
      </c>
      <c r="BV37" s="15">
        <f t="shared" ref="BV37" si="147">BS37+BU37</f>
        <v>57800</v>
      </c>
      <c r="BY37" s="15">
        <f t="shared" ref="BY37" si="148">BV37+BX37</f>
        <v>57800</v>
      </c>
      <c r="BZ37" s="145"/>
      <c r="CB37" s="15">
        <f t="shared" ref="CB37" si="149">BY37+CA37</f>
        <v>57800</v>
      </c>
      <c r="CE37" s="15">
        <f t="shared" ref="CE37" si="150">CB37+CD37</f>
        <v>57800</v>
      </c>
      <c r="CH37" s="15">
        <f t="shared" ref="CH37" si="151">CE37+CG37</f>
        <v>57800</v>
      </c>
      <c r="CK37" s="15">
        <f t="shared" ref="CK37" si="152">CH37+CJ37</f>
        <v>57800</v>
      </c>
      <c r="CN37" s="15">
        <f t="shared" ref="CN37" si="153">CK37+CM37</f>
        <v>57800</v>
      </c>
      <c r="CP37" s="15">
        <v>50389</v>
      </c>
      <c r="CR37" s="15">
        <v>57800</v>
      </c>
      <c r="CS37" s="235">
        <f>CR37/CP37</f>
        <v>1.1470757506598663</v>
      </c>
      <c r="CV37" s="15">
        <f t="shared" ref="CV37" si="154">CR37+CU37</f>
        <v>57800</v>
      </c>
      <c r="CY37" s="15">
        <f>CV37+CX37</f>
        <v>57800</v>
      </c>
      <c r="DB37" s="15">
        <f>CY37+DA37</f>
        <v>57800</v>
      </c>
      <c r="DE37" s="15">
        <f>DB37+DD37</f>
        <v>57800</v>
      </c>
      <c r="DH37" s="15">
        <f>DE37+DG37</f>
        <v>57800</v>
      </c>
      <c r="DK37" s="15">
        <f>DH37+DJ37</f>
        <v>57800</v>
      </c>
      <c r="DN37" s="15">
        <f>DK37+DM37</f>
        <v>57800</v>
      </c>
      <c r="DQ37" s="15">
        <f>DN37+DP37</f>
        <v>57800</v>
      </c>
      <c r="DS37" s="15">
        <v>48839</v>
      </c>
      <c r="DU37" s="15">
        <v>58200</v>
      </c>
      <c r="DV37" s="235">
        <f t="shared" ref="DV37" si="155">DU37/DS37</f>
        <v>1.1916705911259444</v>
      </c>
      <c r="DX37" s="15">
        <f>DU37+DW37</f>
        <v>58200</v>
      </c>
      <c r="EA37" s="15">
        <f>DX37+DZ37</f>
        <v>58200</v>
      </c>
      <c r="ED37" s="15">
        <f>EA37+EC37</f>
        <v>58200</v>
      </c>
      <c r="EF37" s="227">
        <v>-377</v>
      </c>
      <c r="EG37" s="15">
        <f>ED37+EF37</f>
        <v>57823</v>
      </c>
      <c r="EI37" s="15">
        <v>57416</v>
      </c>
      <c r="EK37" s="15">
        <v>59200</v>
      </c>
      <c r="EL37" s="235">
        <f t="shared" ref="EL37" si="156">EK37/EI37</f>
        <v>1.0310714783335655</v>
      </c>
      <c r="EN37" s="15">
        <f>EK37+EM37</f>
        <v>59200</v>
      </c>
      <c r="EQ37" s="15">
        <f>EN37+EP37</f>
        <v>59200</v>
      </c>
      <c r="ET37" s="15">
        <f>EQ37+ES37</f>
        <v>59200</v>
      </c>
      <c r="EV37" s="227">
        <f>-(59200-57329)-241</f>
        <v>-2112</v>
      </c>
      <c r="EW37" s="15">
        <f>ET37+EV37</f>
        <v>57088</v>
      </c>
      <c r="EZ37" s="189">
        <f>EW37+EY37</f>
        <v>57088</v>
      </c>
      <c r="FB37" s="189">
        <v>58709</v>
      </c>
      <c r="FD37" s="15">
        <v>59000</v>
      </c>
      <c r="FE37" s="235">
        <f t="shared" si="137"/>
        <v>1.0049566505987158</v>
      </c>
    </row>
    <row r="38" spans="1:161" outlineLevel="1">
      <c r="A38" s="1" t="s">
        <v>52</v>
      </c>
      <c r="B38" s="4" t="s">
        <v>48</v>
      </c>
      <c r="C38" s="4" t="s">
        <v>53</v>
      </c>
      <c r="D38" s="8">
        <v>30000</v>
      </c>
      <c r="E38" s="28">
        <v>0</v>
      </c>
      <c r="F38" s="8">
        <v>30000</v>
      </c>
      <c r="G38" s="28">
        <v>0</v>
      </c>
      <c r="H38" s="9">
        <v>0</v>
      </c>
      <c r="I38" s="14"/>
      <c r="J38" s="14"/>
      <c r="P38" s="15"/>
      <c r="Q38" s="15"/>
      <c r="R38" s="15"/>
      <c r="S38" s="15"/>
      <c r="X38" s="118"/>
      <c r="AF38" s="182"/>
      <c r="AJ38" s="182"/>
      <c r="AR38" t="s">
        <v>428</v>
      </c>
      <c r="AS38">
        <v>320</v>
      </c>
      <c r="AT38" t="s">
        <v>429</v>
      </c>
      <c r="AV38" t="s">
        <v>428</v>
      </c>
      <c r="AW38">
        <v>320</v>
      </c>
      <c r="AX38" t="s">
        <v>429</v>
      </c>
      <c r="BD38" s="15">
        <f t="shared" si="39"/>
        <v>0</v>
      </c>
      <c r="BG38" s="15">
        <f t="shared" si="138"/>
        <v>0</v>
      </c>
      <c r="BJ38" s="15">
        <f t="shared" si="139"/>
        <v>0</v>
      </c>
      <c r="BZ38" s="145"/>
      <c r="EZ38" s="189"/>
    </row>
    <row r="39" spans="1:161" outlineLevel="1">
      <c r="A39" s="10" t="s">
        <v>0</v>
      </c>
      <c r="P39" s="15"/>
      <c r="Q39" s="15"/>
      <c r="R39" s="15"/>
      <c r="S39" s="15"/>
      <c r="X39" s="118"/>
      <c r="AF39" s="182"/>
      <c r="AJ39" s="182"/>
      <c r="AR39" t="s">
        <v>431</v>
      </c>
      <c r="AS39">
        <v>250</v>
      </c>
      <c r="AT39" t="s">
        <v>432</v>
      </c>
      <c r="AV39" t="s">
        <v>431</v>
      </c>
      <c r="AW39">
        <v>250</v>
      </c>
      <c r="AX39" t="s">
        <v>432</v>
      </c>
      <c r="BD39" s="15">
        <f t="shared" si="39"/>
        <v>0</v>
      </c>
      <c r="BG39" s="15">
        <f t="shared" si="138"/>
        <v>0</v>
      </c>
      <c r="BJ39" s="15">
        <f t="shared" si="139"/>
        <v>0</v>
      </c>
      <c r="BZ39" s="145"/>
      <c r="EZ39" s="189"/>
    </row>
    <row r="40" spans="1:161" outlineLevel="1">
      <c r="A40" s="1" t="s">
        <v>54</v>
      </c>
      <c r="B40" s="1" t="s">
        <v>55</v>
      </c>
      <c r="C40" s="4" t="s">
        <v>56</v>
      </c>
      <c r="D40" s="8">
        <v>90000</v>
      </c>
      <c r="E40" s="28">
        <v>84.18</v>
      </c>
      <c r="F40" s="8">
        <v>90000</v>
      </c>
      <c r="G40" s="28">
        <v>84.18</v>
      </c>
      <c r="H40" s="9">
        <v>75759.61</v>
      </c>
      <c r="I40" s="14">
        <v>80092</v>
      </c>
      <c r="J40" s="14"/>
      <c r="L40" s="118">
        <v>90000</v>
      </c>
      <c r="M40" s="17">
        <f>L40/F40-1</f>
        <v>0</v>
      </c>
      <c r="N40" s="17">
        <f>L40/I40-1</f>
        <v>0.12370773610348107</v>
      </c>
      <c r="P40" s="15" t="s">
        <v>361</v>
      </c>
      <c r="Q40" s="15" t="s">
        <v>361</v>
      </c>
      <c r="R40" s="15" t="s">
        <v>361</v>
      </c>
      <c r="S40" s="15" t="s">
        <v>361</v>
      </c>
      <c r="U40" s="118">
        <v>78000</v>
      </c>
      <c r="X40" s="118">
        <v>78000</v>
      </c>
      <c r="Z40" s="118">
        <v>78000</v>
      </c>
      <c r="AB40" s="187">
        <f t="shared" ref="AB40" si="157">Z40-X40</f>
        <v>0</v>
      </c>
      <c r="AC40" s="187"/>
      <c r="AD40" s="118">
        <v>78000</v>
      </c>
      <c r="AE40" s="187"/>
      <c r="AF40" s="182"/>
      <c r="AG40" s="187"/>
      <c r="AH40" s="118">
        <v>78000</v>
      </c>
      <c r="AI40" s="187"/>
      <c r="AJ40" s="182"/>
      <c r="AL40" s="15">
        <v>77224.990000000005</v>
      </c>
      <c r="AN40" s="15">
        <v>32600</v>
      </c>
      <c r="AO40" s="17">
        <f t="shared" ref="AO40" si="158">AN40/L40-1</f>
        <v>-0.63777777777777778</v>
      </c>
      <c r="AP40" s="17">
        <f t="shared" ref="AP40" si="159">AN40/AH40-1</f>
        <v>-0.58205128205128198</v>
      </c>
      <c r="AQ40" s="17">
        <f t="shared" ref="AQ40" si="160">AN40/AL40-1</f>
        <v>-0.57785685695783195</v>
      </c>
      <c r="BA40" s="15">
        <f t="shared" ref="BA40" si="161">AN40+AZ40</f>
        <v>32600</v>
      </c>
      <c r="BD40" s="15">
        <f t="shared" si="39"/>
        <v>32600</v>
      </c>
      <c r="BG40" s="15">
        <f t="shared" si="138"/>
        <v>32600</v>
      </c>
      <c r="BI40" s="15">
        <v>48400</v>
      </c>
      <c r="BJ40" s="15">
        <f t="shared" si="139"/>
        <v>81000</v>
      </c>
      <c r="BL40" s="15">
        <v>80909.61</v>
      </c>
      <c r="BM40" s="235">
        <f t="shared" ref="BM40" si="162">BL40/BJ40</f>
        <v>0.99888407407407409</v>
      </c>
      <c r="BO40" s="15">
        <v>81000</v>
      </c>
      <c r="BP40" s="235">
        <f>BO40/BL40</f>
        <v>1.0011171726078028</v>
      </c>
      <c r="BR40" s="15">
        <v>19000</v>
      </c>
      <c r="BS40" s="15">
        <f t="shared" ref="BS40" si="163">BO40+BR40</f>
        <v>100000</v>
      </c>
      <c r="BV40" s="15">
        <f t="shared" ref="BV40" si="164">BS40+BU40</f>
        <v>100000</v>
      </c>
      <c r="BY40" s="15">
        <f t="shared" ref="BY40" si="165">BV40+BX40</f>
        <v>100000</v>
      </c>
      <c r="BZ40" s="145"/>
      <c r="CB40" s="15">
        <f t="shared" ref="CB40" si="166">BY40+CA40</f>
        <v>100000</v>
      </c>
      <c r="CE40" s="15">
        <f t="shared" ref="CE40" si="167">CB40+CD40</f>
        <v>100000</v>
      </c>
      <c r="CH40" s="15">
        <f t="shared" ref="CH40" si="168">CE40+CG40</f>
        <v>100000</v>
      </c>
      <c r="CK40" s="15">
        <f t="shared" ref="CK40" si="169">CH40+CJ40</f>
        <v>100000</v>
      </c>
      <c r="CN40" s="15">
        <f t="shared" ref="CN40" si="170">CK40+CM40</f>
        <v>100000</v>
      </c>
      <c r="CP40" s="15">
        <v>100626.74</v>
      </c>
      <c r="CR40" s="15">
        <v>101000</v>
      </c>
      <c r="CS40" s="235">
        <f>CR40/CP40</f>
        <v>1.0037093520072298</v>
      </c>
      <c r="CV40" s="15">
        <f t="shared" ref="CV40" si="171">CR40+CU40</f>
        <v>101000</v>
      </c>
      <c r="CY40" s="15">
        <f>CV40+CX40</f>
        <v>101000</v>
      </c>
      <c r="DB40" s="15">
        <f>CY40+DA40</f>
        <v>101000</v>
      </c>
      <c r="DD40" s="227">
        <v>9000</v>
      </c>
      <c r="DE40" s="15">
        <f>DB40+DD40</f>
        <v>110000</v>
      </c>
      <c r="DH40" s="15">
        <f>DE40+DG40</f>
        <v>110000</v>
      </c>
      <c r="DK40" s="15">
        <f>DH40+DJ40</f>
        <v>110000</v>
      </c>
      <c r="DN40" s="15">
        <f>DK40+DM40</f>
        <v>110000</v>
      </c>
      <c r="DQ40" s="15">
        <f>DN40+DP40</f>
        <v>110000</v>
      </c>
      <c r="DS40" s="15">
        <v>103865.26</v>
      </c>
      <c r="DU40" s="15">
        <v>35000</v>
      </c>
      <c r="DV40" s="235">
        <f t="shared" ref="DV40" si="172">DU40/DS40</f>
        <v>0.33697503862215339</v>
      </c>
      <c r="DX40" s="15">
        <f>DU40+DW40</f>
        <v>35000</v>
      </c>
      <c r="DZ40" s="227">
        <v>88000</v>
      </c>
      <c r="EA40" s="15">
        <f>DX40+DZ40</f>
        <v>123000</v>
      </c>
      <c r="ED40" s="15">
        <f>EA40+EC40</f>
        <v>123000</v>
      </c>
      <c r="EF40" s="227">
        <v>-53072</v>
      </c>
      <c r="EG40" s="15">
        <f>ED40+EF40</f>
        <v>69928</v>
      </c>
      <c r="EI40" s="15">
        <v>69966.2</v>
      </c>
      <c r="EK40" s="15">
        <v>73000</v>
      </c>
      <c r="EL40" s="235">
        <f t="shared" ref="EL40:EL41" si="173">EK40/EI40</f>
        <v>1.0433609371382182</v>
      </c>
      <c r="EM40" s="227">
        <v>90000</v>
      </c>
      <c r="EN40" s="15">
        <f>EK40+EM40</f>
        <v>163000</v>
      </c>
      <c r="EQ40" s="15">
        <f>EN40+EP40</f>
        <v>163000</v>
      </c>
      <c r="ET40" s="15">
        <f>EQ40+ES40</f>
        <v>163000</v>
      </c>
      <c r="EW40" s="15">
        <f>ET40+EV40</f>
        <v>163000</v>
      </c>
      <c r="EZ40" s="189">
        <f>EW40+EY40</f>
        <v>163000</v>
      </c>
      <c r="FB40" s="189">
        <v>142419.81</v>
      </c>
      <c r="FD40" s="15">
        <v>145000</v>
      </c>
      <c r="FE40" s="235">
        <f t="shared" ref="FE40:FE41" si="174">FD40/FB40</f>
        <v>1.0181167914772531</v>
      </c>
    </row>
    <row r="41" spans="1:161" outlineLevel="1">
      <c r="A41" s="1" t="s">
        <v>54</v>
      </c>
      <c r="B41" s="1" t="s">
        <v>50</v>
      </c>
      <c r="C41" s="4" t="s">
        <v>51</v>
      </c>
      <c r="D41" s="8"/>
      <c r="E41" s="28"/>
      <c r="F41" s="8"/>
      <c r="G41" s="28"/>
      <c r="H41" s="9"/>
      <c r="I41" s="14"/>
      <c r="J41" s="14"/>
      <c r="M41" s="17"/>
      <c r="N41" s="17"/>
      <c r="P41" s="15"/>
      <c r="Q41" s="15"/>
      <c r="R41" s="15"/>
      <c r="S41" s="15"/>
      <c r="X41" s="118"/>
      <c r="AB41" s="187"/>
      <c r="AC41" s="187"/>
      <c r="AE41" s="187"/>
      <c r="AF41" s="182"/>
      <c r="AG41" s="187"/>
      <c r="AI41" s="187"/>
      <c r="AJ41" s="182"/>
      <c r="AO41" s="17"/>
      <c r="AP41" s="17"/>
      <c r="AQ41" s="17"/>
      <c r="BA41" s="15"/>
      <c r="BD41" s="15"/>
      <c r="BG41" s="15"/>
      <c r="BJ41" s="15"/>
      <c r="BM41" s="235"/>
      <c r="BP41" s="235"/>
      <c r="BS41" s="15"/>
      <c r="BV41" s="15"/>
      <c r="BY41" s="15"/>
      <c r="BZ41" s="145"/>
      <c r="CB41" s="15"/>
      <c r="CE41" s="15"/>
      <c r="CH41" s="15"/>
      <c r="CK41" s="15"/>
      <c r="CN41" s="15"/>
      <c r="CS41" s="235"/>
      <c r="CV41" s="15"/>
      <c r="CY41" s="15"/>
      <c r="DB41" s="15"/>
      <c r="DD41" s="227"/>
      <c r="DE41" s="15"/>
      <c r="DH41" s="15"/>
      <c r="DK41" s="15"/>
      <c r="DN41" s="15"/>
      <c r="DQ41" s="15"/>
      <c r="DU41" s="15">
        <v>76000</v>
      </c>
      <c r="DV41" s="235"/>
      <c r="DX41" s="15">
        <f>DU41+DW41</f>
        <v>76000</v>
      </c>
      <c r="EA41" s="15">
        <f>DX41+DZ41</f>
        <v>76000</v>
      </c>
      <c r="ED41" s="15">
        <f>EA41+EC41</f>
        <v>76000</v>
      </c>
      <c r="EF41" s="227">
        <v>6100</v>
      </c>
      <c r="EG41" s="15">
        <f>ED41+EF41</f>
        <v>82100</v>
      </c>
      <c r="EI41" s="15">
        <v>82062</v>
      </c>
      <c r="EK41" s="15">
        <v>91000</v>
      </c>
      <c r="EL41" s="235">
        <f t="shared" si="173"/>
        <v>1.108917647632278</v>
      </c>
      <c r="EN41" s="15">
        <f>EK41+EM41</f>
        <v>91000</v>
      </c>
      <c r="EQ41" s="15">
        <f>EN41+EP41</f>
        <v>91000</v>
      </c>
      <c r="ET41" s="15">
        <f>EQ41+ES41</f>
        <v>91000</v>
      </c>
      <c r="EW41" s="15">
        <f>ET41+EV41</f>
        <v>91000</v>
      </c>
      <c r="EZ41" s="189">
        <f>EW41+EY41</f>
        <v>91000</v>
      </c>
      <c r="FB41" s="189">
        <v>0</v>
      </c>
      <c r="FE41" s="235" t="e">
        <f t="shared" si="174"/>
        <v>#DIV/0!</v>
      </c>
    </row>
    <row r="42" spans="1:161" outlineLevel="1">
      <c r="A42" s="1" t="s">
        <v>54</v>
      </c>
      <c r="B42" s="4" t="s">
        <v>46</v>
      </c>
      <c r="C42" s="4" t="s">
        <v>57</v>
      </c>
      <c r="D42" s="8">
        <v>90000</v>
      </c>
      <c r="E42" s="28">
        <v>84.18</v>
      </c>
      <c r="F42" s="8">
        <v>90000</v>
      </c>
      <c r="G42" s="28">
        <v>84.18</v>
      </c>
      <c r="H42" s="9">
        <v>75759.61</v>
      </c>
      <c r="I42" s="14"/>
      <c r="J42" s="14"/>
      <c r="P42" s="15"/>
      <c r="Q42" s="15"/>
      <c r="R42" s="15"/>
      <c r="S42" s="15"/>
      <c r="X42" s="118"/>
      <c r="AF42" s="182"/>
      <c r="AJ42" s="182"/>
      <c r="BD42" s="15">
        <f t="shared" si="39"/>
        <v>0</v>
      </c>
      <c r="BG42" s="15">
        <f t="shared" si="138"/>
        <v>0</v>
      </c>
      <c r="BJ42" s="15">
        <f t="shared" si="139"/>
        <v>0</v>
      </c>
      <c r="BZ42" s="145"/>
      <c r="EZ42" s="189"/>
    </row>
    <row r="43" spans="1:161" outlineLevel="1">
      <c r="A43" s="1" t="s">
        <v>58</v>
      </c>
      <c r="B43" s="4" t="s">
        <v>48</v>
      </c>
      <c r="C43" s="4" t="s">
        <v>59</v>
      </c>
      <c r="D43" s="8">
        <v>90000</v>
      </c>
      <c r="E43" s="28">
        <v>84.18</v>
      </c>
      <c r="F43" s="8">
        <v>90000</v>
      </c>
      <c r="G43" s="28">
        <v>84.18</v>
      </c>
      <c r="H43" s="9">
        <v>75759.61</v>
      </c>
      <c r="I43" s="14"/>
      <c r="J43" s="14"/>
      <c r="P43" s="15"/>
      <c r="Q43" s="15"/>
      <c r="R43" s="15"/>
      <c r="S43" s="15"/>
      <c r="X43" s="118"/>
      <c r="AF43" s="182"/>
      <c r="AJ43" s="182"/>
      <c r="BD43" s="15">
        <f t="shared" si="39"/>
        <v>0</v>
      </c>
      <c r="BG43" s="15">
        <f t="shared" si="138"/>
        <v>0</v>
      </c>
      <c r="BJ43" s="15">
        <f t="shared" si="139"/>
        <v>0</v>
      </c>
      <c r="BZ43" s="145"/>
      <c r="EZ43" s="189"/>
    </row>
    <row r="44" spans="1:161" outlineLevel="1">
      <c r="A44" s="13"/>
      <c r="B44" s="10"/>
      <c r="C44" s="10"/>
      <c r="D44" s="14"/>
      <c r="E44" s="175"/>
      <c r="F44" s="14"/>
      <c r="G44" s="175"/>
      <c r="H44" s="14"/>
      <c r="I44" s="14"/>
      <c r="J44" s="14"/>
      <c r="P44" s="15"/>
      <c r="Q44" s="15"/>
      <c r="R44" s="15"/>
      <c r="S44" s="15"/>
      <c r="X44" s="118"/>
      <c r="AF44" s="182"/>
      <c r="AJ44" s="182"/>
      <c r="BD44" s="15"/>
      <c r="BG44" s="15"/>
      <c r="BJ44" s="15"/>
      <c r="BZ44" s="145"/>
      <c r="EZ44" s="189"/>
    </row>
    <row r="45" spans="1:161" outlineLevel="1">
      <c r="A45" s="13" t="s">
        <v>666</v>
      </c>
      <c r="B45" s="10" t="s">
        <v>54</v>
      </c>
      <c r="C45" s="10" t="s">
        <v>72</v>
      </c>
      <c r="D45" s="14"/>
      <c r="E45" s="175"/>
      <c r="F45" s="14"/>
      <c r="G45" s="175"/>
      <c r="H45" s="14"/>
      <c r="I45" s="14"/>
      <c r="J45" s="14"/>
      <c r="P45" s="15"/>
      <c r="Q45" s="15"/>
      <c r="R45" s="15"/>
      <c r="S45" s="15"/>
      <c r="X45" s="118"/>
      <c r="AF45" s="182"/>
      <c r="AJ45" s="182"/>
      <c r="BD45" s="15"/>
      <c r="BG45" s="15"/>
      <c r="BJ45" s="15"/>
      <c r="BZ45" s="145"/>
      <c r="DZ45" s="227">
        <v>5000</v>
      </c>
      <c r="EA45" s="15">
        <f>DX45+DZ45</f>
        <v>5000</v>
      </c>
      <c r="ED45" s="15">
        <f>EA45+EC45</f>
        <v>5000</v>
      </c>
      <c r="EF45" s="227">
        <v>4500</v>
      </c>
      <c r="EG45" s="15">
        <f>ED45+EF45</f>
        <v>9500</v>
      </c>
      <c r="EI45" s="15">
        <v>9480</v>
      </c>
      <c r="EK45" s="15">
        <v>0</v>
      </c>
      <c r="EL45" s="235">
        <f t="shared" ref="EL45" si="175">EK45/EI45</f>
        <v>0</v>
      </c>
      <c r="EN45" s="15">
        <f>EK45+EM45</f>
        <v>0</v>
      </c>
      <c r="EQ45" s="15">
        <f>EN45+EP45</f>
        <v>0</v>
      </c>
      <c r="ET45" s="15">
        <f>EQ45+ES45</f>
        <v>0</v>
      </c>
      <c r="EW45" s="15">
        <f>ET45+EV45</f>
        <v>0</v>
      </c>
      <c r="EZ45" s="189">
        <f>EW45+EY45</f>
        <v>0</v>
      </c>
      <c r="FD45" s="15">
        <v>0</v>
      </c>
      <c r="FE45" s="235" t="e">
        <f t="shared" ref="FE45" si="176">FD45/FB45</f>
        <v>#DIV/0!</v>
      </c>
    </row>
    <row r="46" spans="1:161" outlineLevel="1">
      <c r="A46" s="13" t="s">
        <v>666</v>
      </c>
      <c r="B46" s="4" t="s">
        <v>48</v>
      </c>
      <c r="C46" s="10" t="s">
        <v>667</v>
      </c>
      <c r="D46" s="14"/>
      <c r="E46" s="175"/>
      <c r="F46" s="14"/>
      <c r="G46" s="175"/>
      <c r="H46" s="14"/>
      <c r="I46" s="14"/>
      <c r="J46" s="14"/>
      <c r="P46" s="15"/>
      <c r="Q46" s="15"/>
      <c r="R46" s="15"/>
      <c r="S46" s="15"/>
      <c r="X46" s="118"/>
      <c r="AF46" s="182"/>
      <c r="AJ46" s="182"/>
      <c r="BD46" s="15"/>
      <c r="BG46" s="15"/>
      <c r="BJ46" s="15"/>
      <c r="BZ46" s="145"/>
      <c r="EZ46" s="189"/>
    </row>
    <row r="47" spans="1:161" outlineLevel="1">
      <c r="A47" s="13"/>
      <c r="B47" s="10"/>
      <c r="C47" s="10"/>
      <c r="D47" s="14"/>
      <c r="E47" s="175"/>
      <c r="F47" s="14"/>
      <c r="G47" s="175"/>
      <c r="H47" s="14"/>
      <c r="I47" s="14"/>
      <c r="J47" s="14"/>
      <c r="P47" s="15"/>
      <c r="Q47" s="15"/>
      <c r="R47" s="15"/>
      <c r="S47" s="15"/>
      <c r="X47" s="118"/>
      <c r="AF47" s="182"/>
      <c r="AJ47" s="182"/>
      <c r="BD47" s="15"/>
      <c r="BG47" s="15"/>
      <c r="BJ47" s="15"/>
      <c r="BZ47" s="145"/>
      <c r="EZ47" s="189"/>
    </row>
    <row r="48" spans="1:161" outlineLevel="1">
      <c r="A48" s="13" t="s">
        <v>301</v>
      </c>
      <c r="B48" s="10" t="s">
        <v>54</v>
      </c>
      <c r="C48" s="10" t="s">
        <v>72</v>
      </c>
      <c r="D48" s="14"/>
      <c r="E48" s="175"/>
      <c r="F48" s="14"/>
      <c r="G48" s="175"/>
      <c r="H48" s="14"/>
      <c r="I48" s="14"/>
      <c r="J48" s="14"/>
      <c r="P48" s="15"/>
      <c r="Q48" s="15"/>
      <c r="R48" s="15"/>
      <c r="S48" s="15"/>
      <c r="X48" s="118"/>
      <c r="AF48" s="182"/>
      <c r="AJ48" s="182"/>
      <c r="BD48" s="15"/>
      <c r="BG48" s="15"/>
      <c r="BJ48" s="15"/>
      <c r="BZ48" s="145"/>
      <c r="EZ48" s="189"/>
      <c r="FB48" s="189">
        <v>3146</v>
      </c>
    </row>
    <row r="49" spans="1:161" outlineLevel="1">
      <c r="A49" s="13" t="s">
        <v>301</v>
      </c>
      <c r="B49" s="4" t="s">
        <v>48</v>
      </c>
      <c r="C49" s="10" t="s">
        <v>302</v>
      </c>
      <c r="D49" s="14"/>
      <c r="E49" s="175"/>
      <c r="F49" s="14"/>
      <c r="G49" s="175"/>
      <c r="H49" s="14"/>
      <c r="I49" s="14"/>
      <c r="J49" s="14"/>
      <c r="P49" s="15"/>
      <c r="Q49" s="15"/>
      <c r="R49" s="15"/>
      <c r="S49" s="15"/>
      <c r="X49" s="118"/>
      <c r="AF49" s="182"/>
      <c r="AJ49" s="182"/>
      <c r="BD49" s="15"/>
      <c r="BG49" s="15"/>
      <c r="BJ49" s="15"/>
      <c r="BZ49" s="145"/>
      <c r="EZ49" s="189"/>
    </row>
    <row r="50" spans="1:161" outlineLevel="1">
      <c r="A50" s="13"/>
      <c r="B50" s="10"/>
      <c r="C50" s="10"/>
      <c r="D50" s="14"/>
      <c r="E50" s="175"/>
      <c r="F50" s="14"/>
      <c r="G50" s="175"/>
      <c r="H50" s="14"/>
      <c r="I50" s="14"/>
      <c r="J50" s="14"/>
      <c r="P50" s="15"/>
      <c r="Q50" s="15"/>
      <c r="R50" s="15"/>
      <c r="S50" s="15"/>
      <c r="X50" s="118"/>
      <c r="AF50" s="182"/>
      <c r="AJ50" s="182"/>
      <c r="BD50" s="15"/>
      <c r="BG50" s="15"/>
      <c r="BJ50" s="15"/>
      <c r="BZ50" s="145"/>
      <c r="EZ50" s="189"/>
    </row>
    <row r="51" spans="1:161" outlineLevel="1">
      <c r="A51" s="13" t="s">
        <v>322</v>
      </c>
      <c r="B51" s="1" t="s">
        <v>67</v>
      </c>
      <c r="C51" s="4" t="s">
        <v>554</v>
      </c>
      <c r="D51" s="14"/>
      <c r="E51" s="175"/>
      <c r="F51" s="14"/>
      <c r="G51" s="175"/>
      <c r="H51" s="14"/>
      <c r="I51" s="14"/>
      <c r="J51" s="14"/>
      <c r="P51" s="15"/>
      <c r="Q51" s="15"/>
      <c r="R51" s="15"/>
      <c r="S51" s="15"/>
      <c r="X51" s="118"/>
      <c r="AF51" s="182"/>
      <c r="AJ51" s="182"/>
      <c r="BD51" s="15"/>
      <c r="BG51" s="15"/>
      <c r="BJ51" s="15"/>
      <c r="BZ51" s="145"/>
      <c r="DZ51" s="227">
        <v>46564.76</v>
      </c>
      <c r="EA51" s="15">
        <f>DX51+DZ51</f>
        <v>46564.76</v>
      </c>
      <c r="ED51" s="15">
        <f>EA51+EC51</f>
        <v>46564.76</v>
      </c>
      <c r="EG51" s="15">
        <f>ED51+EF51</f>
        <v>46564.76</v>
      </c>
      <c r="EI51" s="15">
        <v>46565</v>
      </c>
      <c r="EK51" s="15">
        <v>0</v>
      </c>
      <c r="EL51" s="235">
        <f t="shared" ref="EL51" si="177">EK51/EI51</f>
        <v>0</v>
      </c>
      <c r="EM51" s="227">
        <v>94185.62</v>
      </c>
      <c r="EN51" s="15">
        <f>EK51+EM51</f>
        <v>94185.62</v>
      </c>
      <c r="EQ51" s="15">
        <f>EN51+EP51</f>
        <v>94185.62</v>
      </c>
      <c r="ET51" s="15">
        <f>EQ51+ES51</f>
        <v>94185.62</v>
      </c>
      <c r="EW51" s="15">
        <f>ET51+EV51</f>
        <v>94185.62</v>
      </c>
      <c r="EZ51" s="189">
        <f>EW51+EY51</f>
        <v>94185.62</v>
      </c>
      <c r="FB51" s="189">
        <v>94185.62</v>
      </c>
      <c r="FD51" s="15">
        <v>0</v>
      </c>
      <c r="FE51" s="235">
        <f t="shared" ref="FE51" si="178">FD51/FB51</f>
        <v>0</v>
      </c>
    </row>
    <row r="52" spans="1:161" outlineLevel="1">
      <c r="A52" s="13"/>
      <c r="B52" s="13"/>
      <c r="C52" s="10"/>
      <c r="D52" s="14"/>
      <c r="E52" s="175"/>
      <c r="F52" s="14"/>
      <c r="G52" s="175"/>
      <c r="H52" s="14"/>
      <c r="I52" s="14"/>
      <c r="J52" s="14"/>
      <c r="P52" s="15"/>
      <c r="Q52" s="15"/>
      <c r="R52" s="15"/>
      <c r="S52" s="15"/>
      <c r="X52" s="118"/>
      <c r="AF52" s="182"/>
      <c r="AJ52" s="182"/>
      <c r="BD52" s="15"/>
      <c r="BG52" s="15"/>
      <c r="BJ52" s="15"/>
      <c r="BZ52" s="145"/>
      <c r="DZ52" s="227"/>
      <c r="EA52" s="15"/>
      <c r="ED52" s="15"/>
      <c r="EG52" s="15"/>
      <c r="EL52" s="235"/>
      <c r="EM52" s="227"/>
      <c r="EN52" s="15"/>
      <c r="EQ52" s="15"/>
      <c r="ET52" s="15"/>
      <c r="EW52" s="15"/>
      <c r="EZ52" s="189"/>
      <c r="FE52" s="235"/>
    </row>
    <row r="53" spans="1:161" outlineLevel="1">
      <c r="A53" s="13" t="s">
        <v>61</v>
      </c>
      <c r="B53" s="1" t="s">
        <v>67</v>
      </c>
      <c r="C53" s="4" t="s">
        <v>554</v>
      </c>
      <c r="D53" s="14"/>
      <c r="E53" s="175"/>
      <c r="F53" s="14"/>
      <c r="G53" s="175"/>
      <c r="H53" s="14"/>
      <c r="I53" s="14"/>
      <c r="J53" s="14"/>
      <c r="P53" s="15"/>
      <c r="Q53" s="15"/>
      <c r="R53" s="15"/>
      <c r="S53" s="15"/>
      <c r="X53" s="118"/>
      <c r="AF53" s="182"/>
      <c r="AJ53" s="182"/>
      <c r="BD53" s="15"/>
      <c r="BG53" s="15"/>
      <c r="BJ53" s="15"/>
      <c r="BZ53" s="145"/>
      <c r="DZ53" s="227"/>
      <c r="EA53" s="15"/>
      <c r="ED53" s="15"/>
      <c r="EG53" s="15"/>
      <c r="EL53" s="235"/>
      <c r="EM53" s="227"/>
      <c r="EN53" s="15"/>
      <c r="EQ53" s="15"/>
      <c r="ET53" s="15"/>
      <c r="EW53" s="15"/>
      <c r="EZ53" s="189"/>
      <c r="FD53" s="289">
        <f>'[1]MODEL 2026'!$O$11</f>
        <v>374400</v>
      </c>
      <c r="FE53" s="235"/>
    </row>
    <row r="54" spans="1:161" outlineLevel="1">
      <c r="A54" s="13"/>
      <c r="B54" s="10"/>
      <c r="C54" s="10"/>
      <c r="D54" s="14"/>
      <c r="E54" s="175"/>
      <c r="F54" s="14"/>
      <c r="G54" s="175"/>
      <c r="H54" s="14"/>
      <c r="I54" s="14"/>
      <c r="J54" s="14"/>
      <c r="P54" s="15"/>
      <c r="Q54" s="15"/>
      <c r="R54" s="15"/>
      <c r="S54" s="15"/>
      <c r="X54" s="118"/>
      <c r="AF54" s="182"/>
      <c r="AJ54" s="182"/>
      <c r="BD54" s="15"/>
      <c r="BG54" s="15"/>
      <c r="BJ54" s="15"/>
      <c r="BZ54" s="145"/>
      <c r="EZ54" s="189"/>
    </row>
    <row r="55" spans="1:161" outlineLevel="1">
      <c r="A55" s="13" t="s">
        <v>165</v>
      </c>
      <c r="B55" s="13" t="s">
        <v>77</v>
      </c>
      <c r="C55" s="10" t="s">
        <v>620</v>
      </c>
      <c r="D55" s="14"/>
      <c r="E55" s="175"/>
      <c r="F55" s="14"/>
      <c r="G55" s="175"/>
      <c r="H55" s="14"/>
      <c r="I55" s="14"/>
      <c r="J55" s="14"/>
      <c r="P55" s="15"/>
      <c r="Q55" s="15"/>
      <c r="R55" s="15"/>
      <c r="S55" s="15"/>
      <c r="X55" s="118"/>
      <c r="AF55" s="182"/>
      <c r="AJ55" s="182"/>
      <c r="BD55" s="15"/>
      <c r="BG55" s="15"/>
      <c r="BJ55" s="15"/>
      <c r="BZ55" s="145"/>
      <c r="DD55" s="227">
        <v>800</v>
      </c>
      <c r="DE55" s="15">
        <f>DB55+DD55</f>
        <v>800</v>
      </c>
      <c r="DH55" s="15">
        <f>DE55+DG55</f>
        <v>800</v>
      </c>
      <c r="DK55" s="15">
        <f>DH55+DJ55</f>
        <v>800</v>
      </c>
      <c r="DN55" s="15">
        <f>DK55+DM55</f>
        <v>800</v>
      </c>
      <c r="DQ55" s="15">
        <f>DN55+DP55</f>
        <v>800</v>
      </c>
      <c r="DS55" s="15">
        <v>800</v>
      </c>
      <c r="DU55" s="15">
        <v>0</v>
      </c>
      <c r="DV55" s="235">
        <f t="shared" ref="DV55:DV56" si="179">DU55/DS55</f>
        <v>0</v>
      </c>
      <c r="DX55" s="15">
        <f>DU55+DW55</f>
        <v>0</v>
      </c>
      <c r="EA55" s="15">
        <f>DX55+DZ55</f>
        <v>0</v>
      </c>
      <c r="ED55" s="15">
        <f>EA55+EC55</f>
        <v>0</v>
      </c>
      <c r="EG55" s="15">
        <f>ED55+EF55</f>
        <v>0</v>
      </c>
      <c r="EN55" s="15">
        <f>EK55+EM55</f>
        <v>0</v>
      </c>
      <c r="EQ55" s="15">
        <f>EN55+EP55</f>
        <v>0</v>
      </c>
      <c r="ET55" s="15">
        <f>EQ55+ES55</f>
        <v>0</v>
      </c>
      <c r="EW55" s="15">
        <f>ET55+EV55</f>
        <v>0</v>
      </c>
      <c r="EZ55" s="189">
        <f>EW55+EY55</f>
        <v>0</v>
      </c>
    </row>
    <row r="56" spans="1:161" outlineLevel="1">
      <c r="A56" s="13" t="s">
        <v>165</v>
      </c>
      <c r="B56" s="13" t="s">
        <v>54</v>
      </c>
      <c r="C56" s="10" t="s">
        <v>72</v>
      </c>
      <c r="D56" s="14"/>
      <c r="E56" s="175"/>
      <c r="F56" s="14"/>
      <c r="G56" s="175"/>
      <c r="H56" s="14"/>
      <c r="I56" s="14"/>
      <c r="J56" s="14"/>
      <c r="P56" s="15"/>
      <c r="Q56" s="15"/>
      <c r="R56" s="15"/>
      <c r="S56" s="15"/>
      <c r="X56" s="118"/>
      <c r="AF56" s="182"/>
      <c r="AJ56" s="182"/>
      <c r="BD56" s="15"/>
      <c r="BG56" s="15"/>
      <c r="BJ56" s="15"/>
      <c r="BZ56" s="145"/>
      <c r="DD56" s="227"/>
      <c r="DE56" s="15"/>
      <c r="DG56" s="227">
        <v>125000</v>
      </c>
      <c r="DH56" s="15">
        <f>DE56+DG56</f>
        <v>125000</v>
      </c>
      <c r="DK56" s="15">
        <f>DH56+DJ56</f>
        <v>125000</v>
      </c>
      <c r="DN56" s="15">
        <f>DK56+DM56</f>
        <v>125000</v>
      </c>
      <c r="DQ56" s="15">
        <f>DN56+DP56</f>
        <v>125000</v>
      </c>
      <c r="DS56" s="15">
        <v>125000</v>
      </c>
      <c r="DU56" s="15">
        <v>0</v>
      </c>
      <c r="DV56" s="235">
        <f t="shared" si="179"/>
        <v>0</v>
      </c>
      <c r="DX56" s="15">
        <f>DU56+DW56</f>
        <v>0</v>
      </c>
      <c r="EA56" s="15">
        <f>DX56+DZ56</f>
        <v>0</v>
      </c>
      <c r="ED56" s="15">
        <f>EA56+EC56</f>
        <v>0</v>
      </c>
      <c r="EG56" s="15">
        <f>ED56+EF56</f>
        <v>0</v>
      </c>
      <c r="EN56" s="15">
        <f>EK56+EM56</f>
        <v>0</v>
      </c>
      <c r="EQ56" s="15">
        <f>EN56+EP56</f>
        <v>0</v>
      </c>
      <c r="ET56" s="15">
        <f>EQ56+ES56</f>
        <v>0</v>
      </c>
      <c r="EW56" s="15">
        <f>ET56+EV56</f>
        <v>0</v>
      </c>
      <c r="EZ56" s="189">
        <f>EW56+EY56</f>
        <v>0</v>
      </c>
    </row>
    <row r="57" spans="1:161" outlineLevel="1">
      <c r="A57" s="13" t="s">
        <v>165</v>
      </c>
      <c r="B57" s="1" t="s">
        <v>67</v>
      </c>
      <c r="C57" s="4" t="s">
        <v>554</v>
      </c>
      <c r="D57" s="14"/>
      <c r="E57" s="175"/>
      <c r="F57" s="14"/>
      <c r="G57" s="175"/>
      <c r="H57" s="14"/>
      <c r="I57" s="14"/>
      <c r="J57" s="14"/>
      <c r="P57" s="15"/>
      <c r="Q57" s="15"/>
      <c r="R57" s="15"/>
      <c r="S57" s="15"/>
      <c r="X57" s="118"/>
      <c r="AF57" s="182"/>
      <c r="AJ57" s="182"/>
      <c r="BD57" s="15"/>
      <c r="BG57" s="15"/>
      <c r="BJ57" s="15"/>
      <c r="BZ57" s="145"/>
      <c r="DD57" s="227"/>
      <c r="DE57" s="15"/>
      <c r="DG57" s="227"/>
      <c r="DH57" s="15"/>
      <c r="DK57" s="15"/>
      <c r="DN57" s="15"/>
      <c r="DQ57" s="15"/>
      <c r="DV57" s="235"/>
      <c r="DX57" s="15"/>
      <c r="EA57" s="15"/>
      <c r="ED57" s="15"/>
      <c r="EG57" s="15"/>
      <c r="EM57" s="227">
        <v>435.2</v>
      </c>
      <c r="EN57" s="15">
        <f>EK57+EM57</f>
        <v>435.2</v>
      </c>
      <c r="EQ57" s="15">
        <f>EN57+EP57</f>
        <v>435.2</v>
      </c>
      <c r="ET57" s="15">
        <f>EQ57+ES57</f>
        <v>435.2</v>
      </c>
      <c r="EW57" s="15">
        <f>ET57+EV57</f>
        <v>435.2</v>
      </c>
      <c r="EZ57" s="189">
        <f>EW57+EY57</f>
        <v>435.2</v>
      </c>
      <c r="FB57" s="189">
        <v>435.2</v>
      </c>
    </row>
    <row r="58" spans="1:161" outlineLevel="1">
      <c r="EZ58" s="189"/>
    </row>
    <row r="59" spans="1:161" outlineLevel="1">
      <c r="A59" s="13" t="s">
        <v>167</v>
      </c>
      <c r="B59" s="369" t="s">
        <v>81</v>
      </c>
      <c r="C59" s="10" t="s">
        <v>634</v>
      </c>
      <c r="EI59" s="15">
        <v>5000</v>
      </c>
      <c r="EK59" s="15">
        <v>5000</v>
      </c>
      <c r="EL59" s="235">
        <f t="shared" ref="EL59:EL60" si="180">EK59/EI59</f>
        <v>1</v>
      </c>
      <c r="EN59" s="15">
        <f>EK59+EM59</f>
        <v>5000</v>
      </c>
      <c r="EQ59" s="15">
        <f>EN59+EP59</f>
        <v>5000</v>
      </c>
      <c r="ET59" s="15">
        <f>EQ59+ES59</f>
        <v>5000</v>
      </c>
      <c r="EW59" s="15">
        <f>ET59+EV59</f>
        <v>5000</v>
      </c>
      <c r="EZ59" s="189">
        <f>EW59+EY59</f>
        <v>5000</v>
      </c>
      <c r="FB59" s="189">
        <v>5000</v>
      </c>
      <c r="FD59" s="15">
        <v>5000</v>
      </c>
      <c r="FE59" s="235">
        <f t="shared" ref="FE59:FE60" si="181">FD59/FB59</f>
        <v>1</v>
      </c>
    </row>
    <row r="60" spans="1:161" outlineLevel="1">
      <c r="A60" s="13" t="s">
        <v>167</v>
      </c>
      <c r="B60" s="1" t="s">
        <v>67</v>
      </c>
      <c r="C60" s="4" t="s">
        <v>554</v>
      </c>
      <c r="D60" s="14"/>
      <c r="E60" s="175"/>
      <c r="F60" s="14"/>
      <c r="G60" s="175"/>
      <c r="H60" s="14"/>
      <c r="I60" s="14"/>
      <c r="J60" s="14"/>
      <c r="P60" s="15"/>
      <c r="Q60" s="15"/>
      <c r="R60" s="15"/>
      <c r="S60" s="15"/>
      <c r="X60" s="118"/>
      <c r="AF60" s="182"/>
      <c r="AJ60" s="182"/>
      <c r="BD60" s="15"/>
      <c r="BG60" s="15"/>
      <c r="BJ60" s="15"/>
      <c r="BZ60" s="145"/>
      <c r="DD60" s="227"/>
      <c r="DE60" s="15"/>
      <c r="DG60" s="227"/>
      <c r="DH60" s="15"/>
      <c r="DK60" s="15"/>
      <c r="DN60" s="15"/>
      <c r="DQ60" s="15"/>
      <c r="DV60" s="235"/>
      <c r="DX60" s="15"/>
      <c r="DZ60" s="227">
        <v>49959.48</v>
      </c>
      <c r="EA60" s="15">
        <f>DX60+DZ60</f>
        <v>49959.48</v>
      </c>
      <c r="ED60" s="15">
        <f>EA60+EC60</f>
        <v>49959.48</v>
      </c>
      <c r="EG60" s="15">
        <f>ED60+EF60</f>
        <v>49959.48</v>
      </c>
      <c r="EI60" s="15">
        <v>49959</v>
      </c>
      <c r="EK60" s="15">
        <v>0</v>
      </c>
      <c r="EL60" s="235">
        <f t="shared" si="180"/>
        <v>0</v>
      </c>
      <c r="EM60" s="227">
        <v>94616.78</v>
      </c>
      <c r="EN60" s="15">
        <f>EK60+EM60</f>
        <v>94616.78</v>
      </c>
      <c r="EQ60" s="15">
        <f>EN60+EP60</f>
        <v>94616.78</v>
      </c>
      <c r="ET60" s="15">
        <f>EQ60+ES60</f>
        <v>94616.78</v>
      </c>
      <c r="EW60" s="15">
        <f>ET60+EV60</f>
        <v>94616.78</v>
      </c>
      <c r="EZ60" s="189">
        <f>EW60+EY60</f>
        <v>94616.78</v>
      </c>
      <c r="FB60" s="189">
        <v>94616.78</v>
      </c>
      <c r="FD60" s="15">
        <v>0</v>
      </c>
      <c r="FE60" s="235">
        <f t="shared" si="181"/>
        <v>0</v>
      </c>
    </row>
    <row r="61" spans="1:161" outlineLevel="1">
      <c r="A61" s="13"/>
      <c r="B61" s="13"/>
      <c r="C61" s="10"/>
      <c r="D61" s="14"/>
      <c r="E61" s="175"/>
      <c r="F61" s="14"/>
      <c r="G61" s="175"/>
      <c r="H61" s="14"/>
      <c r="I61" s="14"/>
      <c r="J61" s="14"/>
      <c r="P61" s="15"/>
      <c r="Q61" s="15"/>
      <c r="R61" s="15"/>
      <c r="S61" s="15"/>
      <c r="X61" s="118"/>
      <c r="AF61" s="182"/>
      <c r="AJ61" s="182"/>
      <c r="BD61" s="15"/>
      <c r="BG61" s="15"/>
      <c r="BJ61" s="15"/>
      <c r="BZ61" s="145"/>
      <c r="DD61" s="227"/>
      <c r="DE61" s="15"/>
      <c r="DG61" s="227"/>
      <c r="DH61" s="15"/>
      <c r="DK61" s="15"/>
      <c r="DN61" s="15"/>
      <c r="DQ61" s="15"/>
      <c r="DV61" s="235"/>
      <c r="DX61" s="15"/>
      <c r="DZ61" s="227"/>
      <c r="EA61" s="15"/>
      <c r="ED61" s="15"/>
      <c r="EG61" s="15"/>
      <c r="EL61" s="235"/>
      <c r="EN61" s="15"/>
      <c r="EQ61" s="15"/>
      <c r="ET61" s="15"/>
      <c r="EW61" s="15"/>
      <c r="EZ61" s="189"/>
      <c r="FE61" s="235"/>
    </row>
    <row r="62" spans="1:161" outlineLevel="1">
      <c r="A62" s="13" t="s">
        <v>175</v>
      </c>
      <c r="B62" s="1" t="s">
        <v>67</v>
      </c>
      <c r="C62" s="4" t="s">
        <v>554</v>
      </c>
      <c r="D62" s="14"/>
      <c r="E62" s="175"/>
      <c r="F62" s="14"/>
      <c r="G62" s="175"/>
      <c r="H62" s="14"/>
      <c r="I62" s="14"/>
      <c r="J62" s="14"/>
      <c r="P62" s="15"/>
      <c r="Q62" s="15"/>
      <c r="R62" s="15"/>
      <c r="S62" s="15"/>
      <c r="X62" s="118"/>
      <c r="AF62" s="182"/>
      <c r="AJ62" s="182"/>
      <c r="BD62" s="15"/>
      <c r="BG62" s="15"/>
      <c r="BJ62" s="15"/>
      <c r="BZ62" s="145"/>
      <c r="DD62" s="227"/>
      <c r="DE62" s="15"/>
      <c r="DG62" s="227"/>
      <c r="DH62" s="15"/>
      <c r="DK62" s="15"/>
      <c r="DN62" s="15"/>
      <c r="DQ62" s="15"/>
      <c r="DV62" s="235"/>
      <c r="DX62" s="15"/>
      <c r="DZ62" s="227"/>
      <c r="EA62" s="15"/>
      <c r="ED62" s="15"/>
      <c r="EG62" s="15"/>
      <c r="EL62" s="235"/>
      <c r="EM62" s="227">
        <v>8669.92</v>
      </c>
      <c r="EN62" s="15">
        <f>EK62+EM62</f>
        <v>8669.92</v>
      </c>
      <c r="EQ62" s="15">
        <f>EN62+EP62</f>
        <v>8669.92</v>
      </c>
      <c r="ET62" s="15">
        <f>EQ62+ES62</f>
        <v>8669.92</v>
      </c>
      <c r="EW62" s="15">
        <f>ET62+EV62</f>
        <v>8669.92</v>
      </c>
      <c r="EZ62" s="189">
        <f>EW62+EY62</f>
        <v>8669.92</v>
      </c>
      <c r="FB62" s="189">
        <v>8669.92</v>
      </c>
      <c r="FE62" s="235"/>
    </row>
    <row r="63" spans="1:161" outlineLevel="1">
      <c r="A63" s="13"/>
      <c r="B63" s="13"/>
      <c r="C63" s="10"/>
      <c r="D63" s="14"/>
      <c r="E63" s="175"/>
      <c r="F63" s="14"/>
      <c r="G63" s="175"/>
      <c r="H63" s="14"/>
      <c r="I63" s="14"/>
      <c r="J63" s="14"/>
      <c r="P63" s="15"/>
      <c r="Q63" s="15"/>
      <c r="R63" s="15"/>
      <c r="S63" s="15"/>
      <c r="X63" s="118"/>
      <c r="AF63" s="182"/>
      <c r="AJ63" s="182"/>
      <c r="BD63" s="15"/>
      <c r="BG63" s="15"/>
      <c r="BJ63" s="15"/>
      <c r="BZ63" s="145"/>
      <c r="DD63" s="227"/>
      <c r="DE63" s="15"/>
      <c r="DG63" s="227"/>
      <c r="DH63" s="15"/>
      <c r="DK63" s="15"/>
      <c r="DN63" s="15"/>
      <c r="DQ63" s="15"/>
      <c r="DV63" s="235"/>
      <c r="DX63" s="15"/>
      <c r="DZ63" s="227"/>
      <c r="EA63" s="15"/>
      <c r="ED63" s="15"/>
      <c r="EG63" s="15"/>
      <c r="EL63" s="235"/>
      <c r="EN63" s="15"/>
      <c r="EQ63" s="15"/>
      <c r="ET63" s="15"/>
      <c r="EW63" s="15"/>
      <c r="EZ63" s="189"/>
      <c r="FE63" s="235"/>
    </row>
    <row r="64" spans="1:161" outlineLevel="1">
      <c r="A64" s="13" t="s">
        <v>495</v>
      </c>
      <c r="B64" s="13" t="s">
        <v>54</v>
      </c>
      <c r="C64" s="4" t="s">
        <v>72</v>
      </c>
      <c r="D64" s="14"/>
      <c r="E64" s="175"/>
      <c r="F64" s="14"/>
      <c r="G64" s="175"/>
      <c r="H64" s="14"/>
      <c r="I64" s="14"/>
      <c r="J64" s="14"/>
      <c r="P64" s="15"/>
      <c r="Q64" s="15"/>
      <c r="R64" s="15"/>
      <c r="S64" s="15"/>
      <c r="X64" s="118"/>
      <c r="AF64" s="182"/>
      <c r="AJ64" s="182"/>
      <c r="BD64" s="15"/>
      <c r="BG64" s="15"/>
      <c r="BJ64" s="15"/>
      <c r="BZ64" s="145"/>
      <c r="DD64" s="227"/>
      <c r="DE64" s="15"/>
      <c r="DG64" s="227"/>
      <c r="DH64" s="15"/>
      <c r="DK64" s="15"/>
      <c r="DN64" s="15"/>
      <c r="DQ64" s="15"/>
      <c r="DV64" s="235"/>
      <c r="DX64" s="15"/>
      <c r="DZ64" s="227"/>
      <c r="EA64" s="15"/>
      <c r="ED64" s="15"/>
      <c r="EG64" s="15"/>
      <c r="EK64" s="15">
        <f>Rozpis_Výdaje!FV158</f>
        <v>200000</v>
      </c>
      <c r="EL64" s="235"/>
      <c r="EN64" s="15">
        <f>EK64+EM64</f>
        <v>200000</v>
      </c>
      <c r="EQ64" s="15">
        <f>EN64+EP64</f>
        <v>200000</v>
      </c>
      <c r="ET64" s="15">
        <f>EQ64+ES64</f>
        <v>200000</v>
      </c>
      <c r="EW64" s="15">
        <f>ET64+EV64</f>
        <v>200000</v>
      </c>
      <c r="EZ64" s="189">
        <f>EW64+EY64</f>
        <v>200000</v>
      </c>
      <c r="FB64" s="189">
        <v>0</v>
      </c>
      <c r="FD64" s="15">
        <v>0</v>
      </c>
      <c r="FE64" s="235"/>
    </row>
    <row r="65" spans="1:161" outlineLevel="1">
      <c r="A65" s="10" t="s">
        <v>0</v>
      </c>
      <c r="P65" s="15"/>
      <c r="Q65" s="15"/>
      <c r="R65" s="15"/>
      <c r="S65" s="15"/>
      <c r="X65" s="118"/>
      <c r="AF65" s="182"/>
      <c r="AJ65" s="182"/>
      <c r="BD65" s="15">
        <f t="shared" si="39"/>
        <v>0</v>
      </c>
      <c r="BG65" s="15">
        <f t="shared" si="138"/>
        <v>0</v>
      </c>
      <c r="BJ65" s="15">
        <f t="shared" si="139"/>
        <v>0</v>
      </c>
      <c r="BZ65" s="145"/>
      <c r="EZ65" s="189"/>
    </row>
    <row r="66" spans="1:161" outlineLevel="1">
      <c r="A66" s="1" t="s">
        <v>60</v>
      </c>
      <c r="B66" s="1" t="s">
        <v>61</v>
      </c>
      <c r="C66" s="4" t="s">
        <v>62</v>
      </c>
      <c r="D66" s="8">
        <v>8000</v>
      </c>
      <c r="E66" s="28">
        <v>0</v>
      </c>
      <c r="F66" s="8">
        <v>8000</v>
      </c>
      <c r="G66" s="28">
        <v>0</v>
      </c>
      <c r="H66" s="9">
        <v>0</v>
      </c>
      <c r="I66" s="14">
        <v>0</v>
      </c>
      <c r="J66" s="14"/>
      <c r="L66" s="118">
        <v>0</v>
      </c>
      <c r="M66" s="17">
        <f>L66/F66-1</f>
        <v>-1</v>
      </c>
      <c r="N66" s="17" t="e">
        <f>L66/I66-1</f>
        <v>#DIV/0!</v>
      </c>
      <c r="P66" s="15" t="s">
        <v>294</v>
      </c>
      <c r="Q66" s="15" t="s">
        <v>294</v>
      </c>
      <c r="R66" s="15" t="s">
        <v>395</v>
      </c>
      <c r="S66" s="15" t="s">
        <v>395</v>
      </c>
      <c r="U66" s="118">
        <v>0</v>
      </c>
      <c r="X66" s="118">
        <v>0</v>
      </c>
      <c r="Z66" s="118">
        <v>0</v>
      </c>
      <c r="AB66" s="187">
        <f t="shared" ref="AB66" si="182">Z66-X66</f>
        <v>0</v>
      </c>
      <c r="AC66" s="187"/>
      <c r="AD66" s="118">
        <v>0</v>
      </c>
      <c r="AE66" s="187"/>
      <c r="AF66" s="182"/>
      <c r="AG66" s="187"/>
      <c r="AH66" s="118">
        <v>0</v>
      </c>
      <c r="AI66" s="187"/>
      <c r="AJ66" s="182"/>
      <c r="BD66" s="15">
        <f t="shared" si="39"/>
        <v>0</v>
      </c>
      <c r="BG66" s="15">
        <f t="shared" si="138"/>
        <v>0</v>
      </c>
      <c r="BI66" s="15">
        <v>132000</v>
      </c>
      <c r="BJ66" s="15">
        <f t="shared" si="139"/>
        <v>132000</v>
      </c>
      <c r="BL66" s="15">
        <v>133844.6</v>
      </c>
      <c r="BM66" s="235">
        <f t="shared" ref="BM66" si="183">BL66/BJ66</f>
        <v>1.0139742424242424</v>
      </c>
      <c r="BO66" s="15">
        <v>10000</v>
      </c>
      <c r="BP66" s="235">
        <f>BO66/BL66</f>
        <v>7.4713511041909791E-2</v>
      </c>
      <c r="BS66" s="15">
        <f t="shared" ref="BS66:BS67" si="184">BO66+BR66</f>
        <v>10000</v>
      </c>
      <c r="BV66" s="15">
        <f t="shared" ref="BV66:BV67" si="185">BS66+BU66</f>
        <v>10000</v>
      </c>
      <c r="BY66" s="15">
        <f t="shared" ref="BY66:BY67" si="186">BV66+BX66</f>
        <v>10000</v>
      </c>
      <c r="BZ66" s="145"/>
      <c r="CB66" s="15">
        <f t="shared" ref="CB66:CB67" si="187">BY66+CA66</f>
        <v>10000</v>
      </c>
      <c r="CE66" s="15">
        <f t="shared" ref="CE66:CE67" si="188">CB66+CD66</f>
        <v>10000</v>
      </c>
      <c r="CH66" s="15">
        <f t="shared" ref="CH66:CH67" si="189">CE66+CG66</f>
        <v>10000</v>
      </c>
      <c r="CK66" s="15">
        <f t="shared" ref="CK66:CK67" si="190">CH66+CJ66</f>
        <v>10000</v>
      </c>
      <c r="CN66" s="15">
        <f t="shared" ref="CN66:CN67" si="191">CK66+CM66</f>
        <v>10000</v>
      </c>
      <c r="CP66" s="15">
        <v>0</v>
      </c>
      <c r="CR66" s="15">
        <v>0</v>
      </c>
      <c r="CS66" s="235" t="e">
        <f>CR66/CP66</f>
        <v>#DIV/0!</v>
      </c>
      <c r="CV66" s="15">
        <f t="shared" ref="CV66:CV67" si="192">CR66+CU66</f>
        <v>0</v>
      </c>
      <c r="CY66" s="15">
        <f>CV66+CX66</f>
        <v>0</v>
      </c>
      <c r="DB66" s="15">
        <f>CY66+DA66</f>
        <v>0</v>
      </c>
      <c r="DE66" s="15">
        <f>DB66+DD66</f>
        <v>0</v>
      </c>
      <c r="DH66" s="15">
        <f>DE66+DG66</f>
        <v>0</v>
      </c>
      <c r="DK66" s="15">
        <f>DH66+DJ66</f>
        <v>0</v>
      </c>
      <c r="DN66" s="15">
        <f>DK66+DM66</f>
        <v>0</v>
      </c>
      <c r="DQ66" s="15">
        <f>DN66+DP66</f>
        <v>0</v>
      </c>
      <c r="DX66" s="15">
        <f>DU66+DW66</f>
        <v>0</v>
      </c>
      <c r="EA66" s="15">
        <f>DX66+DZ66</f>
        <v>0</v>
      </c>
      <c r="ED66" s="15">
        <f>EA66+EC66</f>
        <v>0</v>
      </c>
      <c r="EG66" s="15">
        <f>ED66+EF66</f>
        <v>0</v>
      </c>
      <c r="EN66" s="15">
        <f>EK66+EM66</f>
        <v>0</v>
      </c>
      <c r="EQ66" s="15">
        <f>EN66+EP66</f>
        <v>0</v>
      </c>
      <c r="ET66" s="15">
        <f>EQ66+ES66</f>
        <v>0</v>
      </c>
      <c r="EW66" s="15">
        <f>ET66+EV66</f>
        <v>0</v>
      </c>
      <c r="EZ66" s="189">
        <f>EW66+EY66</f>
        <v>0</v>
      </c>
    </row>
    <row r="67" spans="1:161" outlineLevel="1">
      <c r="A67" s="1" t="s">
        <v>60</v>
      </c>
      <c r="B67" s="1" t="s">
        <v>517</v>
      </c>
      <c r="C67" s="4" t="s">
        <v>518</v>
      </c>
      <c r="D67" s="8"/>
      <c r="E67" s="28"/>
      <c r="F67" s="8"/>
      <c r="G67" s="28"/>
      <c r="H67" s="9"/>
      <c r="I67" s="14"/>
      <c r="J67" s="14"/>
      <c r="M67" s="17"/>
      <c r="N67" s="17"/>
      <c r="P67" s="15"/>
      <c r="Q67" s="15"/>
      <c r="R67" s="15"/>
      <c r="S67" s="15"/>
      <c r="X67" s="118"/>
      <c r="AB67" s="187"/>
      <c r="AC67" s="187"/>
      <c r="AE67" s="187"/>
      <c r="AF67" s="182"/>
      <c r="AG67" s="187"/>
      <c r="AI67" s="187"/>
      <c r="AJ67" s="182"/>
      <c r="BD67" s="15"/>
      <c r="BG67" s="15"/>
      <c r="BJ67" s="15"/>
      <c r="BM67" s="235"/>
      <c r="BO67" s="15">
        <v>83200</v>
      </c>
      <c r="BP67" s="235" t="e">
        <f>BO67/BL67</f>
        <v>#DIV/0!</v>
      </c>
      <c r="BS67" s="15">
        <f t="shared" si="184"/>
        <v>83200</v>
      </c>
      <c r="BV67" s="15">
        <f t="shared" si="185"/>
        <v>83200</v>
      </c>
      <c r="BY67" s="15">
        <f t="shared" si="186"/>
        <v>83200</v>
      </c>
      <c r="BZ67" s="145"/>
      <c r="CB67" s="15">
        <f t="shared" si="187"/>
        <v>83200</v>
      </c>
      <c r="CE67" s="15">
        <f t="shared" si="188"/>
        <v>83200</v>
      </c>
      <c r="CH67" s="15">
        <f t="shared" si="189"/>
        <v>83200</v>
      </c>
      <c r="CK67" s="15">
        <f t="shared" si="190"/>
        <v>83200</v>
      </c>
      <c r="CN67" s="15">
        <f t="shared" si="191"/>
        <v>83200</v>
      </c>
      <c r="CP67" s="15">
        <v>83111</v>
      </c>
      <c r="CR67" s="15">
        <v>0</v>
      </c>
      <c r="CS67" s="235">
        <f>CR67/CP67</f>
        <v>0</v>
      </c>
      <c r="CV67" s="15">
        <f t="shared" si="192"/>
        <v>0</v>
      </c>
      <c r="CY67" s="15">
        <f>CV67+CX67</f>
        <v>0</v>
      </c>
      <c r="DB67" s="15">
        <f>CY67+DA67</f>
        <v>0</v>
      </c>
      <c r="DE67" s="15">
        <f>DB67+DD67</f>
        <v>0</v>
      </c>
      <c r="DH67" s="15">
        <f>DE67+DG67</f>
        <v>0</v>
      </c>
      <c r="DK67" s="15">
        <f>DH67+DJ67</f>
        <v>0</v>
      </c>
      <c r="DN67" s="15">
        <f>DK67+DM67</f>
        <v>0</v>
      </c>
      <c r="DQ67" s="15">
        <f>DN67+DP67</f>
        <v>0</v>
      </c>
      <c r="DX67" s="15">
        <f>DU67+DW67</f>
        <v>0</v>
      </c>
      <c r="EA67" s="15">
        <f>DX67+DZ67</f>
        <v>0</v>
      </c>
      <c r="ED67" s="15">
        <f>EA67+EC67</f>
        <v>0</v>
      </c>
      <c r="EG67" s="15">
        <f>ED67+EF67</f>
        <v>0</v>
      </c>
      <c r="EN67" s="15">
        <f>EK67+EM67</f>
        <v>0</v>
      </c>
      <c r="EQ67" s="15">
        <f>EN67+EP67</f>
        <v>0</v>
      </c>
      <c r="ET67" s="15">
        <f>EQ67+ES67</f>
        <v>0</v>
      </c>
      <c r="EW67" s="15">
        <f>ET67+EV67</f>
        <v>0</v>
      </c>
      <c r="EZ67" s="189">
        <f>EW67+EY67</f>
        <v>0</v>
      </c>
    </row>
    <row r="68" spans="1:161" outlineLevel="1">
      <c r="A68" s="1" t="s">
        <v>60</v>
      </c>
      <c r="B68" s="4" t="s">
        <v>46</v>
      </c>
      <c r="C68" s="4" t="s">
        <v>63</v>
      </c>
      <c r="D68" s="8">
        <v>8000</v>
      </c>
      <c r="E68" s="28">
        <v>0</v>
      </c>
      <c r="F68" s="8">
        <v>8000</v>
      </c>
      <c r="G68" s="28">
        <v>0</v>
      </c>
      <c r="H68" s="9">
        <v>0</v>
      </c>
      <c r="I68" s="14"/>
      <c r="J68" s="14"/>
      <c r="P68" s="15"/>
      <c r="Q68" s="15"/>
      <c r="R68" s="15"/>
      <c r="S68" s="15"/>
      <c r="X68" s="118"/>
      <c r="AF68" s="182"/>
      <c r="AJ68" s="182"/>
      <c r="BD68" s="15">
        <f t="shared" si="39"/>
        <v>0</v>
      </c>
      <c r="BG68" s="15">
        <f t="shared" si="138"/>
        <v>0</v>
      </c>
      <c r="BJ68" s="15">
        <f t="shared" si="139"/>
        <v>0</v>
      </c>
      <c r="BZ68" s="145"/>
      <c r="EZ68" s="189"/>
    </row>
    <row r="69" spans="1:161" outlineLevel="1">
      <c r="A69" s="1" t="s">
        <v>64</v>
      </c>
      <c r="B69" s="4" t="s">
        <v>48</v>
      </c>
      <c r="C69" s="4" t="s">
        <v>65</v>
      </c>
      <c r="D69" s="8">
        <v>8000</v>
      </c>
      <c r="E69" s="28">
        <v>0</v>
      </c>
      <c r="F69" s="8">
        <v>8000</v>
      </c>
      <c r="G69" s="28">
        <v>0</v>
      </c>
      <c r="H69" s="9">
        <v>0</v>
      </c>
      <c r="I69" s="14"/>
      <c r="J69" s="14"/>
      <c r="P69" s="15"/>
      <c r="Q69" s="15"/>
      <c r="R69" s="15"/>
      <c r="S69" s="15"/>
      <c r="X69" s="118"/>
      <c r="AF69" s="182"/>
      <c r="AJ69" s="182"/>
      <c r="BD69" s="15">
        <f t="shared" si="39"/>
        <v>0</v>
      </c>
      <c r="BG69" s="15">
        <f t="shared" si="138"/>
        <v>0</v>
      </c>
      <c r="BJ69" s="15">
        <f t="shared" si="139"/>
        <v>0</v>
      </c>
      <c r="BZ69" s="145"/>
      <c r="EZ69" s="189"/>
    </row>
    <row r="70" spans="1:161" outlineLevel="1">
      <c r="A70" s="10" t="s">
        <v>0</v>
      </c>
      <c r="P70" s="15"/>
      <c r="Q70" s="15"/>
      <c r="R70" s="15"/>
      <c r="S70" s="15"/>
      <c r="X70" s="118"/>
      <c r="AF70" s="182"/>
      <c r="AJ70" s="182"/>
      <c r="BD70" s="15">
        <f t="shared" si="39"/>
        <v>0</v>
      </c>
      <c r="BG70" s="15">
        <f t="shared" si="138"/>
        <v>0</v>
      </c>
      <c r="BJ70" s="15">
        <f t="shared" si="139"/>
        <v>0</v>
      </c>
      <c r="BZ70" s="145"/>
      <c r="EZ70" s="189"/>
    </row>
    <row r="71" spans="1:161" outlineLevel="1">
      <c r="A71" s="1" t="s">
        <v>66</v>
      </c>
      <c r="B71" s="1" t="s">
        <v>67</v>
      </c>
      <c r="C71" s="4" t="s">
        <v>554</v>
      </c>
      <c r="D71" s="8">
        <v>35000</v>
      </c>
      <c r="E71" s="28">
        <v>76.42</v>
      </c>
      <c r="F71" s="8">
        <v>35000</v>
      </c>
      <c r="G71" s="28">
        <v>76.42</v>
      </c>
      <c r="H71" s="9">
        <v>26747</v>
      </c>
      <c r="I71" s="14">
        <f>H71/3*4</f>
        <v>35662.666666666664</v>
      </c>
      <c r="J71" s="14"/>
      <c r="L71" s="118">
        <v>36000</v>
      </c>
      <c r="M71" s="17">
        <f>L71/F71-1</f>
        <v>2.857142857142847E-2</v>
      </c>
      <c r="N71" s="17">
        <f>L71/I71-1</f>
        <v>9.4590047481961648E-3</v>
      </c>
      <c r="P71" s="15" t="s">
        <v>311</v>
      </c>
      <c r="Q71" s="15" t="s">
        <v>311</v>
      </c>
      <c r="R71" s="15" t="s">
        <v>311</v>
      </c>
      <c r="S71" s="15" t="s">
        <v>311</v>
      </c>
      <c r="U71" s="118">
        <v>47000</v>
      </c>
      <c r="X71" s="118">
        <v>47000</v>
      </c>
      <c r="Z71" s="118">
        <v>58000</v>
      </c>
      <c r="AB71" s="187">
        <f t="shared" ref="AB71" si="193">Z71-X71</f>
        <v>11000</v>
      </c>
      <c r="AC71" s="187"/>
      <c r="AD71" s="118">
        <v>58000</v>
      </c>
      <c r="AE71" s="187"/>
      <c r="AF71" s="182"/>
      <c r="AG71" s="187"/>
      <c r="AH71" s="118">
        <v>58000</v>
      </c>
      <c r="AI71" s="187"/>
      <c r="AJ71" s="182"/>
      <c r="AL71" s="15">
        <v>57242.42</v>
      </c>
      <c r="AN71" s="15">
        <v>65000</v>
      </c>
      <c r="AO71" s="17">
        <f t="shared" ref="AO71" si="194">AN71/L71-1</f>
        <v>0.80555555555555558</v>
      </c>
      <c r="AP71" s="17">
        <f t="shared" ref="AP71" si="195">AN71/AH71-1</f>
        <v>0.1206896551724137</v>
      </c>
      <c r="AQ71" s="17">
        <f t="shared" ref="AQ71" si="196">AN71/AL71-1</f>
        <v>0.13552152407253226</v>
      </c>
      <c r="BA71" s="15">
        <f t="shared" ref="BA71" si="197">AN71+AZ71</f>
        <v>65000</v>
      </c>
      <c r="BD71" s="15">
        <f t="shared" si="39"/>
        <v>65000</v>
      </c>
      <c r="BG71" s="15">
        <f t="shared" si="138"/>
        <v>65000</v>
      </c>
      <c r="BI71" s="15">
        <v>15000</v>
      </c>
      <c r="BJ71" s="15">
        <f t="shared" si="139"/>
        <v>80000</v>
      </c>
      <c r="BL71" s="15">
        <v>56969.120000000003</v>
      </c>
      <c r="BM71" s="235">
        <f t="shared" ref="BM71" si="198">BL71/BJ71</f>
        <v>0.71211400000000002</v>
      </c>
      <c r="BO71" s="15">
        <v>80000</v>
      </c>
      <c r="BP71" s="235">
        <f>BO71/BL71</f>
        <v>1.4042695411127992</v>
      </c>
      <c r="BR71" s="15">
        <v>8000</v>
      </c>
      <c r="BS71" s="15">
        <f t="shared" ref="BS71" si="199">BO71+BR71</f>
        <v>88000</v>
      </c>
      <c r="BU71" s="227">
        <v>80000</v>
      </c>
      <c r="BV71" s="15">
        <f t="shared" ref="BV71" si="200">BS71+BU71</f>
        <v>168000</v>
      </c>
      <c r="BY71" s="15">
        <f t="shared" ref="BY71" si="201">BV71+BX71</f>
        <v>168000</v>
      </c>
      <c r="BZ71" s="145"/>
      <c r="CB71" s="15">
        <f t="shared" ref="CB71" si="202">BY71+CA71</f>
        <v>168000</v>
      </c>
      <c r="CE71" s="15">
        <f t="shared" ref="CE71" si="203">CB71+CD71</f>
        <v>168000</v>
      </c>
      <c r="CH71" s="15">
        <f t="shared" ref="CH71" si="204">CE71+CG71</f>
        <v>168000</v>
      </c>
      <c r="CJ71" s="227">
        <v>16000</v>
      </c>
      <c r="CK71" s="15">
        <f t="shared" ref="CK71" si="205">CH71+CJ71</f>
        <v>184000</v>
      </c>
      <c r="CN71" s="15">
        <f t="shared" ref="CN71" si="206">CK71+CM71</f>
        <v>184000</v>
      </c>
      <c r="CP71" s="15">
        <v>184351.1</v>
      </c>
      <c r="CR71" s="15">
        <v>185000</v>
      </c>
      <c r="CS71" s="235">
        <f>CR71/CP71</f>
        <v>1.0035199139034159</v>
      </c>
      <c r="CV71" s="15">
        <f t="shared" ref="CV71" si="207">CR71+CU71</f>
        <v>185000</v>
      </c>
      <c r="CY71" s="15">
        <f>CV71+CX71</f>
        <v>185000</v>
      </c>
      <c r="DB71" s="15">
        <f>CY71+DA71</f>
        <v>185000</v>
      </c>
      <c r="DE71" s="15">
        <f>DB71+DD71</f>
        <v>185000</v>
      </c>
      <c r="DH71" s="15">
        <f>DE71+DG71</f>
        <v>185000</v>
      </c>
      <c r="DJ71" s="227">
        <v>15000</v>
      </c>
      <c r="DK71" s="15">
        <f>DH71+DJ71</f>
        <v>200000</v>
      </c>
      <c r="DM71" s="227">
        <v>5000</v>
      </c>
      <c r="DN71" s="15">
        <f>DK71+DM71</f>
        <v>205000</v>
      </c>
      <c r="DQ71" s="15">
        <f>DN71+DP71</f>
        <v>205000</v>
      </c>
      <c r="DS71" s="15">
        <v>208724.43</v>
      </c>
      <c r="DU71" s="15">
        <v>210000</v>
      </c>
      <c r="DV71" s="235">
        <f t="shared" ref="DV71" si="208">DU71/DS71</f>
        <v>1.0061112635449525</v>
      </c>
      <c r="DX71" s="15">
        <f>DU71+DW71</f>
        <v>210000</v>
      </c>
      <c r="EA71" s="15">
        <f>DX71+DZ71</f>
        <v>210000</v>
      </c>
      <c r="ED71" s="15">
        <f>EA71+EC71</f>
        <v>210000</v>
      </c>
      <c r="EF71" s="227">
        <v>39439</v>
      </c>
      <c r="EG71" s="15">
        <f>ED71+EF71</f>
        <v>249439</v>
      </c>
      <c r="EI71" s="15">
        <v>249439</v>
      </c>
      <c r="EK71" s="15">
        <v>270000</v>
      </c>
      <c r="EL71" s="235">
        <f t="shared" ref="EL71" si="209">EK71/EI71</f>
        <v>1.0824289706100489</v>
      </c>
      <c r="EN71" s="15">
        <f>EK71+EM71</f>
        <v>270000</v>
      </c>
      <c r="EQ71" s="15">
        <f>EN71+EP71</f>
        <v>270000</v>
      </c>
      <c r="ET71" s="15">
        <f>EQ71+ES71</f>
        <v>270000</v>
      </c>
      <c r="EW71" s="15">
        <f>ET71+EV71</f>
        <v>270000</v>
      </c>
      <c r="EZ71" s="189">
        <f>EW71+EY71</f>
        <v>270000</v>
      </c>
      <c r="FB71" s="189">
        <v>289839.18</v>
      </c>
      <c r="FD71" s="15">
        <v>300000</v>
      </c>
      <c r="FE71" s="235">
        <f t="shared" ref="FE71" si="210">FD71/FB71</f>
        <v>1.0350567511266076</v>
      </c>
    </row>
    <row r="72" spans="1:161" outlineLevel="1">
      <c r="A72" s="1" t="s">
        <v>66</v>
      </c>
      <c r="B72" s="4" t="s">
        <v>46</v>
      </c>
      <c r="C72" s="4" t="s">
        <v>68</v>
      </c>
      <c r="D72" s="8">
        <v>35000</v>
      </c>
      <c r="E72" s="28">
        <v>76.42</v>
      </c>
      <c r="F72" s="8">
        <v>35000</v>
      </c>
      <c r="G72" s="28">
        <v>76.42</v>
      </c>
      <c r="H72" s="9">
        <v>26747</v>
      </c>
      <c r="I72" s="14"/>
      <c r="J72" s="14"/>
      <c r="P72" s="15"/>
      <c r="Q72" s="15"/>
      <c r="R72" s="15"/>
      <c r="S72" s="15"/>
      <c r="X72" s="118"/>
      <c r="AF72" s="182"/>
      <c r="AJ72" s="182"/>
      <c r="BD72" s="15">
        <f t="shared" si="39"/>
        <v>0</v>
      </c>
      <c r="BG72" s="15">
        <f t="shared" si="138"/>
        <v>0</v>
      </c>
      <c r="BJ72" s="15">
        <f t="shared" si="139"/>
        <v>0</v>
      </c>
      <c r="BZ72" s="145"/>
      <c r="EZ72" s="189"/>
    </row>
    <row r="73" spans="1:161" outlineLevel="1">
      <c r="A73" s="1" t="s">
        <v>69</v>
      </c>
      <c r="B73" s="4" t="s">
        <v>48</v>
      </c>
      <c r="C73" s="4" t="s">
        <v>70</v>
      </c>
      <c r="D73" s="8">
        <v>35000</v>
      </c>
      <c r="E73" s="28">
        <v>76.42</v>
      </c>
      <c r="F73" s="8">
        <v>35000</v>
      </c>
      <c r="G73" s="28">
        <v>76.42</v>
      </c>
      <c r="H73" s="9">
        <v>26747</v>
      </c>
      <c r="I73" s="14"/>
      <c r="J73" s="14"/>
      <c r="P73" s="15"/>
      <c r="Q73" s="15"/>
      <c r="R73" s="15"/>
      <c r="S73" s="15"/>
      <c r="X73" s="118"/>
      <c r="AF73" s="182"/>
      <c r="AJ73" s="182"/>
      <c r="BD73" s="15">
        <f t="shared" si="39"/>
        <v>0</v>
      </c>
      <c r="BG73" s="15">
        <f t="shared" si="138"/>
        <v>0</v>
      </c>
      <c r="BJ73" s="15">
        <f t="shared" si="139"/>
        <v>0</v>
      </c>
      <c r="BZ73" s="145"/>
    </row>
    <row r="74" spans="1:161" outlineLevel="1">
      <c r="A74" s="10" t="s">
        <v>0</v>
      </c>
      <c r="P74" s="15"/>
      <c r="Q74" s="15"/>
      <c r="R74" s="15"/>
      <c r="S74" s="15"/>
      <c r="X74" s="118"/>
      <c r="AF74" s="182"/>
      <c r="AJ74" s="182"/>
      <c r="BD74" s="15">
        <f t="shared" si="39"/>
        <v>0</v>
      </c>
      <c r="BG74" s="15">
        <f t="shared" si="138"/>
        <v>0</v>
      </c>
      <c r="BJ74" s="15">
        <f t="shared" si="139"/>
        <v>0</v>
      </c>
      <c r="BZ74" s="145"/>
    </row>
    <row r="75" spans="1:161" outlineLevel="1">
      <c r="A75" s="1" t="s">
        <v>71</v>
      </c>
      <c r="B75" s="1" t="s">
        <v>54</v>
      </c>
      <c r="C75" s="4" t="s">
        <v>72</v>
      </c>
      <c r="D75" s="8">
        <v>1000</v>
      </c>
      <c r="E75" s="28">
        <v>0</v>
      </c>
      <c r="F75" s="8">
        <v>1000</v>
      </c>
      <c r="G75" s="28">
        <v>0</v>
      </c>
      <c r="H75" s="9">
        <v>0</v>
      </c>
      <c r="I75" s="14">
        <v>0</v>
      </c>
      <c r="J75" s="14"/>
      <c r="L75" s="118">
        <v>0</v>
      </c>
      <c r="P75" s="15"/>
      <c r="Q75" s="15"/>
      <c r="R75" s="15"/>
      <c r="S75" s="15"/>
      <c r="U75" s="118">
        <v>0</v>
      </c>
      <c r="X75" s="118">
        <v>0</v>
      </c>
      <c r="Z75" s="118">
        <v>100</v>
      </c>
      <c r="AB75" s="187">
        <f t="shared" ref="AB75" si="211">Z75-X75</f>
        <v>100</v>
      </c>
      <c r="AC75" s="187"/>
      <c r="AD75" s="118">
        <v>100</v>
      </c>
      <c r="AE75" s="187"/>
      <c r="AF75" s="182"/>
      <c r="AG75" s="187"/>
      <c r="AH75" s="118">
        <v>100</v>
      </c>
      <c r="AI75" s="187"/>
      <c r="AJ75" s="182"/>
      <c r="AL75" s="15">
        <v>60</v>
      </c>
      <c r="AN75" s="15">
        <v>0</v>
      </c>
      <c r="BD75" s="15">
        <f t="shared" si="39"/>
        <v>0</v>
      </c>
      <c r="BG75" s="15">
        <f t="shared" si="138"/>
        <v>0</v>
      </c>
      <c r="BJ75" s="15">
        <f t="shared" si="139"/>
        <v>0</v>
      </c>
      <c r="BZ75" s="145"/>
    </row>
    <row r="76" spans="1:161" outlineLevel="1">
      <c r="A76" s="1" t="s">
        <v>71</v>
      </c>
      <c r="B76" s="1" t="s">
        <v>445</v>
      </c>
      <c r="C76" s="4" t="s">
        <v>446</v>
      </c>
      <c r="D76" s="8"/>
      <c r="E76" s="28"/>
      <c r="F76" s="8"/>
      <c r="G76" s="28"/>
      <c r="H76" s="9"/>
      <c r="I76" s="14"/>
      <c r="J76" s="14"/>
      <c r="P76" s="15"/>
      <c r="Q76" s="15"/>
      <c r="R76" s="15"/>
      <c r="S76" s="15"/>
      <c r="X76" s="118"/>
      <c r="AB76" s="187"/>
      <c r="AC76" s="187"/>
      <c r="AE76" s="187"/>
      <c r="AF76" s="182"/>
      <c r="AG76" s="187"/>
      <c r="AI76" s="187"/>
      <c r="AJ76" s="182"/>
      <c r="BD76" s="15"/>
      <c r="BG76" s="15"/>
      <c r="BI76" s="15">
        <v>3000</v>
      </c>
      <c r="BJ76" s="15">
        <f t="shared" si="139"/>
        <v>3000</v>
      </c>
      <c r="BL76" s="15">
        <v>3000</v>
      </c>
      <c r="BM76" s="235">
        <f t="shared" ref="BM76" si="212">BL76/BJ76</f>
        <v>1</v>
      </c>
      <c r="BO76" s="15">
        <v>150000</v>
      </c>
      <c r="BP76" s="235">
        <f>BO76/BL76</f>
        <v>50</v>
      </c>
      <c r="BS76" s="15">
        <f t="shared" ref="BS76" si="213">BO76+BR76</f>
        <v>150000</v>
      </c>
      <c r="BV76" s="15">
        <f t="shared" ref="BV76" si="214">BS76+BU76</f>
        <v>150000</v>
      </c>
      <c r="BY76" s="15">
        <f t="shared" ref="BY76" si="215">BV76+BX76</f>
        <v>150000</v>
      </c>
      <c r="BZ76" s="145"/>
      <c r="CB76" s="15">
        <f t="shared" ref="CB76" si="216">BY76+CA76</f>
        <v>150000</v>
      </c>
      <c r="CE76" s="15">
        <f t="shared" ref="CE76" si="217">CB76+CD76</f>
        <v>150000</v>
      </c>
      <c r="CH76" s="15">
        <f t="shared" ref="CH76" si="218">CE76+CG76</f>
        <v>150000</v>
      </c>
      <c r="CK76" s="15">
        <f t="shared" ref="CK76" si="219">CH76+CJ76</f>
        <v>150000</v>
      </c>
      <c r="CN76" s="15">
        <f t="shared" ref="CN76" si="220">CK76+CM76</f>
        <v>150000</v>
      </c>
      <c r="CP76" s="15">
        <v>0</v>
      </c>
      <c r="CR76" s="15">
        <v>150000</v>
      </c>
      <c r="CS76" s="235" t="e">
        <f>CR76/CP76</f>
        <v>#DIV/0!</v>
      </c>
      <c r="CU76" s="227">
        <v>-150000</v>
      </c>
      <c r="CV76" s="15">
        <f t="shared" ref="CV76:CV78" si="221">CR76+CU76</f>
        <v>0</v>
      </c>
      <c r="CY76" s="15">
        <f>CV76+CX76</f>
        <v>0</v>
      </c>
      <c r="DB76" s="15">
        <f>CY76+DA76</f>
        <v>0</v>
      </c>
      <c r="DE76" s="15">
        <f>DB76+DD76</f>
        <v>0</v>
      </c>
      <c r="DH76" s="15">
        <f>DE76+DG76</f>
        <v>0</v>
      </c>
      <c r="DK76" s="15">
        <f>DH76+DJ76</f>
        <v>0</v>
      </c>
      <c r="DN76" s="15">
        <f>DK76+DM76</f>
        <v>0</v>
      </c>
      <c r="DQ76" s="15">
        <f>DN76+DP76</f>
        <v>0</v>
      </c>
      <c r="DS76" s="15">
        <v>0</v>
      </c>
      <c r="DU76" s="15">
        <v>5000</v>
      </c>
      <c r="DV76" s="235" t="e">
        <f t="shared" ref="DV76:DV78" si="222">DU76/DS76</f>
        <v>#DIV/0!</v>
      </c>
      <c r="DX76" s="15">
        <f>DU76+DW76</f>
        <v>5000</v>
      </c>
      <c r="EA76" s="15">
        <f>DX76+DZ76</f>
        <v>5000</v>
      </c>
      <c r="ED76" s="15">
        <f>EA76+EC76</f>
        <v>5000</v>
      </c>
      <c r="EF76" s="227">
        <v>-5000</v>
      </c>
      <c r="EG76" s="15">
        <f>ED76+EF76</f>
        <v>0</v>
      </c>
      <c r="EK76" s="15">
        <v>3000</v>
      </c>
      <c r="EL76" s="235" t="e">
        <f t="shared" ref="EL76:EL78" si="223">EK76/EI76</f>
        <v>#DIV/0!</v>
      </c>
      <c r="EN76" s="15">
        <f>EK76+EM76</f>
        <v>3000</v>
      </c>
      <c r="EQ76" s="15">
        <f>EN76+EP76</f>
        <v>3000</v>
      </c>
      <c r="ET76" s="15">
        <f>EQ76+ES76</f>
        <v>3000</v>
      </c>
      <c r="EW76" s="15">
        <f>ET76+EV76</f>
        <v>3000</v>
      </c>
      <c r="EZ76" s="189">
        <f>EW76+EY76</f>
        <v>3000</v>
      </c>
      <c r="FB76" s="189">
        <v>0</v>
      </c>
      <c r="FD76" s="15">
        <v>3000</v>
      </c>
      <c r="FE76" s="235" t="e">
        <f t="shared" ref="FE76:FE78" si="224">FD76/FB76</f>
        <v>#DIV/0!</v>
      </c>
    </row>
    <row r="77" spans="1:161" outlineLevel="1">
      <c r="A77" s="1" t="s">
        <v>71</v>
      </c>
      <c r="B77" s="1" t="s">
        <v>67</v>
      </c>
      <c r="C77" s="4" t="s">
        <v>554</v>
      </c>
      <c r="D77" s="8"/>
      <c r="E77" s="28"/>
      <c r="F77" s="8"/>
      <c r="G77" s="28"/>
      <c r="H77" s="9"/>
      <c r="I77" s="14"/>
      <c r="J77" s="14"/>
      <c r="P77" s="15"/>
      <c r="Q77" s="15"/>
      <c r="R77" s="15"/>
      <c r="S77" s="15"/>
      <c r="X77" s="118"/>
      <c r="AB77" s="187"/>
      <c r="AC77" s="187"/>
      <c r="AE77" s="187"/>
      <c r="AF77" s="182"/>
      <c r="AG77" s="187"/>
      <c r="AI77" s="187"/>
      <c r="AJ77" s="182"/>
      <c r="BD77" s="15"/>
      <c r="BG77" s="15"/>
      <c r="BJ77" s="15"/>
      <c r="BM77" s="235"/>
      <c r="BP77" s="235"/>
      <c r="BS77" s="15"/>
      <c r="BV77" s="15"/>
      <c r="BY77" s="15"/>
      <c r="BZ77" s="145"/>
      <c r="CB77" s="15"/>
      <c r="CE77" s="15"/>
      <c r="CH77" s="15"/>
      <c r="CK77" s="15"/>
      <c r="CN77" s="15"/>
      <c r="CS77" s="235"/>
      <c r="CU77" s="227"/>
      <c r="CV77" s="15"/>
      <c r="CY77" s="15"/>
      <c r="DB77" s="15"/>
      <c r="DD77" s="227">
        <v>1700</v>
      </c>
      <c r="DE77" s="15">
        <f>DB77+DD77</f>
        <v>1700</v>
      </c>
      <c r="DH77" s="15">
        <f>DE77+DG77</f>
        <v>1700</v>
      </c>
      <c r="DK77" s="15">
        <f>DH77+DJ77</f>
        <v>1700</v>
      </c>
      <c r="DN77" s="15">
        <f>DK77+DM77</f>
        <v>1700</v>
      </c>
      <c r="DQ77" s="15">
        <f>DN77+DP77</f>
        <v>1700</v>
      </c>
      <c r="DS77" s="15">
        <v>1622.54</v>
      </c>
      <c r="DU77" s="15">
        <v>0</v>
      </c>
      <c r="DV77" s="235">
        <f t="shared" si="222"/>
        <v>0</v>
      </c>
      <c r="DX77" s="15">
        <f>DU77+DW77</f>
        <v>0</v>
      </c>
      <c r="EA77" s="15">
        <f>DX77+DZ77</f>
        <v>0</v>
      </c>
      <c r="ED77" s="15">
        <f>EA77+EC77</f>
        <v>0</v>
      </c>
      <c r="EG77" s="15">
        <f>ED77+EF77</f>
        <v>0</v>
      </c>
      <c r="EL77" s="235" t="e">
        <f t="shared" si="223"/>
        <v>#DIV/0!</v>
      </c>
      <c r="EN77" s="15">
        <f>EK77+EM77</f>
        <v>0</v>
      </c>
      <c r="EQ77" s="15">
        <f>EN77+EP77</f>
        <v>0</v>
      </c>
      <c r="ET77" s="15">
        <f>EQ77+ES77</f>
        <v>0</v>
      </c>
      <c r="EW77" s="15">
        <f>ET77+EV77</f>
        <v>0</v>
      </c>
      <c r="EZ77" s="15">
        <f>EW77+EY77</f>
        <v>0</v>
      </c>
      <c r="FE77" s="235" t="e">
        <f t="shared" si="224"/>
        <v>#DIV/0!</v>
      </c>
    </row>
    <row r="78" spans="1:161" outlineLevel="1">
      <c r="A78" s="1" t="s">
        <v>71</v>
      </c>
      <c r="B78" s="1" t="s">
        <v>137</v>
      </c>
      <c r="C78" s="4" t="s">
        <v>600</v>
      </c>
      <c r="D78" s="8"/>
      <c r="E78" s="28"/>
      <c r="F78" s="8"/>
      <c r="G78" s="28"/>
      <c r="H78" s="9"/>
      <c r="I78" s="14"/>
      <c r="J78" s="14"/>
      <c r="P78" s="15"/>
      <c r="Q78" s="15"/>
      <c r="R78" s="15"/>
      <c r="S78" s="15"/>
      <c r="X78" s="118"/>
      <c r="AB78" s="187"/>
      <c r="AC78" s="187"/>
      <c r="AE78" s="187"/>
      <c r="AF78" s="182"/>
      <c r="AG78" s="187"/>
      <c r="AI78" s="187"/>
      <c r="AJ78" s="182"/>
      <c r="BD78" s="15"/>
      <c r="BG78" s="15"/>
      <c r="BJ78" s="15"/>
      <c r="BM78" s="235"/>
      <c r="BP78" s="235"/>
      <c r="BS78" s="15"/>
      <c r="BV78" s="15"/>
      <c r="BY78" s="15"/>
      <c r="BZ78" s="145"/>
      <c r="CB78" s="15"/>
      <c r="CE78" s="15"/>
      <c r="CH78" s="15"/>
      <c r="CK78" s="15"/>
      <c r="CN78" s="15"/>
      <c r="CS78" s="235"/>
      <c r="CU78" s="227">
        <v>150000</v>
      </c>
      <c r="CV78" s="15">
        <f t="shared" si="221"/>
        <v>150000</v>
      </c>
      <c r="CY78" s="15">
        <f>CV78+CX78</f>
        <v>150000</v>
      </c>
      <c r="DB78" s="15">
        <f>CY78+DA78</f>
        <v>150000</v>
      </c>
      <c r="DD78" s="227">
        <v>11500</v>
      </c>
      <c r="DE78" s="15">
        <f>DB78+DD78</f>
        <v>161500</v>
      </c>
      <c r="DH78" s="15">
        <f>DE78+DG78</f>
        <v>161500</v>
      </c>
      <c r="DK78" s="15">
        <f>DH78+DJ78</f>
        <v>161500</v>
      </c>
      <c r="DN78" s="15">
        <f>DK78+DM78</f>
        <v>161500</v>
      </c>
      <c r="DQ78" s="15">
        <f>DN78+DP78</f>
        <v>161500</v>
      </c>
      <c r="DS78" s="15">
        <v>161500</v>
      </c>
      <c r="DU78" s="15">
        <v>0</v>
      </c>
      <c r="DV78" s="235">
        <f t="shared" si="222"/>
        <v>0</v>
      </c>
      <c r="DX78" s="15">
        <f>DU78+DW78</f>
        <v>0</v>
      </c>
      <c r="EA78" s="15">
        <f>DX78+DZ78</f>
        <v>0</v>
      </c>
      <c r="ED78" s="15">
        <f>EA78+EC78</f>
        <v>0</v>
      </c>
      <c r="EG78" s="15">
        <f>ED78+EF78</f>
        <v>0</v>
      </c>
      <c r="EL78" s="235" t="e">
        <f t="shared" si="223"/>
        <v>#DIV/0!</v>
      </c>
      <c r="EN78" s="15">
        <f>EK78+EM78</f>
        <v>0</v>
      </c>
      <c r="EQ78" s="15">
        <f>EN78+EP78</f>
        <v>0</v>
      </c>
      <c r="ET78" s="15">
        <f>EQ78+ES78</f>
        <v>0</v>
      </c>
      <c r="EW78" s="15">
        <f>ET78+EV78</f>
        <v>0</v>
      </c>
      <c r="EZ78" s="15">
        <f>EW78+EY78</f>
        <v>0</v>
      </c>
      <c r="FE78" s="235" t="e">
        <f t="shared" si="224"/>
        <v>#DIV/0!</v>
      </c>
    </row>
    <row r="79" spans="1:161" outlineLevel="1">
      <c r="A79" s="1" t="s">
        <v>71</v>
      </c>
      <c r="B79" s="4" t="s">
        <v>46</v>
      </c>
      <c r="C79" s="4" t="s">
        <v>73</v>
      </c>
      <c r="D79" s="8">
        <v>1000</v>
      </c>
      <c r="E79" s="28">
        <v>0</v>
      </c>
      <c r="F79" s="8">
        <v>1000</v>
      </c>
      <c r="G79" s="28">
        <v>0</v>
      </c>
      <c r="H79" s="9">
        <v>0</v>
      </c>
      <c r="I79" s="14"/>
      <c r="J79" s="14"/>
      <c r="P79" s="15"/>
      <c r="Q79" s="15"/>
      <c r="R79" s="15"/>
      <c r="S79" s="15"/>
      <c r="X79" s="118"/>
      <c r="AF79" s="182"/>
      <c r="AJ79" s="182"/>
      <c r="BD79" s="15">
        <f t="shared" si="39"/>
        <v>0</v>
      </c>
      <c r="BG79" s="15">
        <f t="shared" si="138"/>
        <v>0</v>
      </c>
      <c r="BJ79" s="15">
        <f t="shared" si="139"/>
        <v>0</v>
      </c>
      <c r="BZ79" s="145"/>
    </row>
    <row r="80" spans="1:161" outlineLevel="1">
      <c r="A80" s="1" t="s">
        <v>74</v>
      </c>
      <c r="B80" s="4" t="s">
        <v>48</v>
      </c>
      <c r="C80" s="4" t="s">
        <v>75</v>
      </c>
      <c r="D80" s="8">
        <v>1000</v>
      </c>
      <c r="E80" s="28">
        <v>0</v>
      </c>
      <c r="F80" s="8">
        <v>1000</v>
      </c>
      <c r="G80" s="28">
        <v>0</v>
      </c>
      <c r="H80" s="9">
        <v>0</v>
      </c>
      <c r="I80" s="14"/>
      <c r="J80" s="14"/>
      <c r="P80" s="15"/>
      <c r="Q80" s="15"/>
      <c r="R80" s="15"/>
      <c r="S80" s="15"/>
      <c r="X80" s="118"/>
      <c r="AF80" s="182"/>
      <c r="AJ80" s="182"/>
      <c r="BD80" s="15">
        <f t="shared" si="39"/>
        <v>0</v>
      </c>
      <c r="BG80" s="15">
        <f t="shared" si="138"/>
        <v>0</v>
      </c>
      <c r="BJ80" s="15">
        <f t="shared" si="139"/>
        <v>0</v>
      </c>
      <c r="BZ80" s="145"/>
    </row>
    <row r="81" spans="1:161" outlineLevel="1">
      <c r="A81" s="13"/>
      <c r="B81" s="10"/>
      <c r="C81" s="10"/>
      <c r="D81" s="14"/>
      <c r="E81" s="175"/>
      <c r="F81" s="14"/>
      <c r="G81" s="175"/>
      <c r="H81" s="14"/>
      <c r="I81" s="14"/>
      <c r="J81" s="14"/>
      <c r="P81" s="15"/>
      <c r="Q81" s="15"/>
      <c r="R81" s="15"/>
      <c r="S81" s="15"/>
      <c r="X81" s="118"/>
      <c r="AF81" s="182"/>
      <c r="AJ81" s="182"/>
      <c r="BD81" s="15">
        <f t="shared" si="39"/>
        <v>0</v>
      </c>
      <c r="BG81" s="15">
        <f t="shared" si="138"/>
        <v>0</v>
      </c>
      <c r="BJ81" s="15">
        <f t="shared" si="139"/>
        <v>0</v>
      </c>
      <c r="BZ81" s="145"/>
    </row>
    <row r="82" spans="1:161" outlineLevel="1">
      <c r="A82" s="13" t="s">
        <v>201</v>
      </c>
      <c r="B82" s="1" t="s">
        <v>67</v>
      </c>
      <c r="C82" s="4" t="s">
        <v>554</v>
      </c>
      <c r="D82" s="14"/>
      <c r="E82" s="175"/>
      <c r="F82" s="14"/>
      <c r="G82" s="175"/>
      <c r="H82" s="14"/>
      <c r="I82" s="14"/>
      <c r="J82" s="14"/>
      <c r="P82" s="15"/>
      <c r="Q82" s="15"/>
      <c r="R82" s="15"/>
      <c r="S82" s="15"/>
      <c r="X82" s="118"/>
      <c r="AF82" s="182"/>
      <c r="AJ82" s="182"/>
      <c r="BD82" s="15"/>
      <c r="BG82" s="15"/>
      <c r="BJ82" s="15"/>
      <c r="BZ82" s="145"/>
      <c r="EI82" s="15">
        <v>9527</v>
      </c>
      <c r="EK82" s="15">
        <v>0</v>
      </c>
      <c r="EL82" s="235">
        <f t="shared" ref="EL82" si="225">EK82/EI82</f>
        <v>0</v>
      </c>
      <c r="EM82" s="346">
        <v>15217.27</v>
      </c>
      <c r="EN82" s="15">
        <f t="shared" ref="EN82:EN83" si="226">EK82+EM82</f>
        <v>15217.27</v>
      </c>
      <c r="EQ82" s="15">
        <f t="shared" ref="EQ82:EQ83" si="227">EN82+EP82</f>
        <v>15217.27</v>
      </c>
      <c r="ET82" s="15">
        <f t="shared" ref="ET82:ET83" si="228">EQ82+ES82</f>
        <v>15217.27</v>
      </c>
      <c r="EW82" s="189">
        <f t="shared" ref="EW82:EW83" si="229">ET82+EV82</f>
        <v>15217.27</v>
      </c>
      <c r="EZ82" s="189">
        <f t="shared" ref="EZ82:EZ83" si="230">EW82+EY82</f>
        <v>15217.27</v>
      </c>
      <c r="FB82" s="189">
        <v>15217.27</v>
      </c>
      <c r="FD82" s="15">
        <v>0</v>
      </c>
      <c r="FE82" s="235">
        <f t="shared" ref="FE82" si="231">FD82/FB82</f>
        <v>0</v>
      </c>
    </row>
    <row r="83" spans="1:161" outlineLevel="1">
      <c r="A83" s="13" t="s">
        <v>201</v>
      </c>
      <c r="B83" s="369" t="s">
        <v>81</v>
      </c>
      <c r="C83" s="10" t="s">
        <v>634</v>
      </c>
      <c r="D83" s="14"/>
      <c r="E83" s="175"/>
      <c r="F83" s="14"/>
      <c r="G83" s="175"/>
      <c r="H83" s="14"/>
      <c r="I83" s="14"/>
      <c r="J83" s="14"/>
      <c r="P83" s="15"/>
      <c r="Q83" s="15"/>
      <c r="R83" s="15"/>
      <c r="S83" s="15"/>
      <c r="X83" s="118"/>
      <c r="AF83" s="182"/>
      <c r="AJ83" s="182"/>
      <c r="BD83" s="15"/>
      <c r="BG83" s="15"/>
      <c r="BJ83" s="15"/>
      <c r="BZ83" s="145"/>
      <c r="DM83" s="227">
        <v>1000</v>
      </c>
      <c r="DN83" s="15">
        <f t="shared" ref="DN83:DN85" si="232">DK83+DM83</f>
        <v>1000</v>
      </c>
      <c r="DQ83" s="15">
        <f t="shared" ref="DQ83" si="233">DN83+DP83</f>
        <v>1000</v>
      </c>
      <c r="DS83" s="15">
        <v>726</v>
      </c>
      <c r="DU83" s="15">
        <v>2300</v>
      </c>
      <c r="DV83" s="235">
        <f t="shared" ref="DV83" si="234">DU83/DS83</f>
        <v>3.168044077134986</v>
      </c>
      <c r="DX83" s="15">
        <f t="shared" ref="DX83" si="235">DU83+DW83</f>
        <v>2300</v>
      </c>
      <c r="EA83" s="15">
        <f t="shared" ref="EA83" si="236">DX83+DZ83</f>
        <v>2300</v>
      </c>
      <c r="ED83" s="15">
        <f t="shared" ref="ED83" si="237">EA83+EC83</f>
        <v>2300</v>
      </c>
      <c r="EF83" s="227">
        <v>-2300</v>
      </c>
      <c r="EG83" s="15">
        <f t="shared" ref="EG83" si="238">ED83+EF83</f>
        <v>0</v>
      </c>
      <c r="EN83" s="15">
        <f t="shared" si="226"/>
        <v>0</v>
      </c>
      <c r="EQ83" s="15">
        <f t="shared" si="227"/>
        <v>0</v>
      </c>
      <c r="ET83" s="15">
        <f t="shared" si="228"/>
        <v>0</v>
      </c>
      <c r="EW83" s="15">
        <f t="shared" si="229"/>
        <v>0</v>
      </c>
      <c r="EZ83" s="15">
        <f t="shared" si="230"/>
        <v>0</v>
      </c>
    </row>
    <row r="84" spans="1:161" outlineLevel="1">
      <c r="A84" s="13" t="s">
        <v>201</v>
      </c>
      <c r="B84" s="369" t="s">
        <v>54</v>
      </c>
      <c r="C84" s="10" t="s">
        <v>414</v>
      </c>
      <c r="D84" s="14"/>
      <c r="E84" s="175"/>
      <c r="F84" s="14"/>
      <c r="G84" s="175"/>
      <c r="H84" s="14"/>
      <c r="I84" s="14"/>
      <c r="J84" s="14"/>
      <c r="P84" s="15"/>
      <c r="Q84" s="15"/>
      <c r="R84" s="15"/>
      <c r="S84" s="15"/>
      <c r="X84" s="118"/>
      <c r="Z84" s="118">
        <v>2000</v>
      </c>
      <c r="AB84" s="187">
        <f t="shared" ref="AB84:AB86" si="239">Z84-X84</f>
        <v>2000</v>
      </c>
      <c r="AC84" s="187"/>
      <c r="AD84" s="118">
        <v>2000</v>
      </c>
      <c r="AE84" s="187"/>
      <c r="AF84" s="182">
        <f t="shared" ref="AF84" si="240">AD84-Z84</f>
        <v>0</v>
      </c>
      <c r="AG84" s="187"/>
      <c r="AH84" s="118">
        <v>2000</v>
      </c>
      <c r="AI84" s="187"/>
      <c r="AJ84" s="182">
        <f t="shared" ref="AJ84" si="241">AH84-AD84</f>
        <v>0</v>
      </c>
      <c r="AK84" t="s">
        <v>416</v>
      </c>
      <c r="AL84" s="15">
        <v>2000</v>
      </c>
      <c r="AN84" s="15">
        <v>0</v>
      </c>
      <c r="AO84" s="17"/>
      <c r="AP84" s="17">
        <f t="shared" ref="AP84:AP86" si="242">AN84/AH84</f>
        <v>0</v>
      </c>
      <c r="AQ84" s="17">
        <f t="shared" ref="AQ84:AQ86" si="243">AN84/AL84</f>
        <v>0</v>
      </c>
      <c r="BA84" s="15">
        <f t="shared" ref="BA84:BA86" si="244">AN84+AZ84</f>
        <v>0</v>
      </c>
      <c r="BD84" s="15">
        <f t="shared" si="39"/>
        <v>0</v>
      </c>
      <c r="BG84" s="15">
        <f t="shared" si="138"/>
        <v>0</v>
      </c>
      <c r="BJ84" s="15">
        <f t="shared" si="139"/>
        <v>0</v>
      </c>
      <c r="BZ84" s="145"/>
    </row>
    <row r="85" spans="1:161" outlineLevel="1">
      <c r="A85" s="13" t="s">
        <v>11</v>
      </c>
      <c r="B85" s="369" t="s">
        <v>610</v>
      </c>
      <c r="C85" s="10" t="s">
        <v>612</v>
      </c>
      <c r="D85" s="14"/>
      <c r="E85" s="175"/>
      <c r="F85" s="14"/>
      <c r="G85" s="175"/>
      <c r="H85" s="14"/>
      <c r="I85" s="14"/>
      <c r="J85" s="14"/>
      <c r="P85" s="15"/>
      <c r="Q85" s="15"/>
      <c r="R85" s="15"/>
      <c r="S85" s="15"/>
      <c r="X85" s="118"/>
      <c r="AB85" s="187"/>
      <c r="AC85" s="187"/>
      <c r="AE85" s="187"/>
      <c r="AF85" s="182"/>
      <c r="AG85" s="187"/>
      <c r="AI85" s="187"/>
      <c r="AJ85" s="182"/>
      <c r="AO85" s="17"/>
      <c r="AP85" s="17"/>
      <c r="AQ85" s="17"/>
      <c r="BA85" s="15"/>
      <c r="BD85" s="15"/>
      <c r="BG85" s="15"/>
      <c r="BJ85" s="15"/>
      <c r="BZ85" s="145"/>
      <c r="DA85" s="227">
        <v>249450</v>
      </c>
      <c r="DB85" s="15">
        <f t="shared" ref="DB85" si="245">CY85+DA85</f>
        <v>249450</v>
      </c>
      <c r="DE85" s="15">
        <f t="shared" ref="DE85" si="246">DB85+DD85</f>
        <v>249450</v>
      </c>
      <c r="DH85" s="15">
        <f t="shared" ref="DH85" si="247">DE85+DG85</f>
        <v>249450</v>
      </c>
      <c r="DK85" s="15">
        <f t="shared" ref="DK85" si="248">DH85+DJ85</f>
        <v>249450</v>
      </c>
      <c r="DN85" s="15">
        <f t="shared" si="232"/>
        <v>249450</v>
      </c>
      <c r="DQ85" s="15">
        <f t="shared" ref="DQ85" si="249">DN85+DP85</f>
        <v>249450</v>
      </c>
      <c r="DS85" s="15">
        <v>249450</v>
      </c>
      <c r="DU85" s="15">
        <v>0</v>
      </c>
      <c r="DV85" s="235">
        <f t="shared" ref="DV85" si="250">DU85/DS85</f>
        <v>0</v>
      </c>
      <c r="DX85" s="15">
        <f t="shared" ref="DX85" si="251">DU85+DW85</f>
        <v>0</v>
      </c>
      <c r="EA85" s="15">
        <f t="shared" ref="EA85" si="252">DX85+DZ85</f>
        <v>0</v>
      </c>
      <c r="ED85" s="15">
        <f t="shared" ref="ED85" si="253">EA85+EC85</f>
        <v>0</v>
      </c>
      <c r="EG85" s="15">
        <f t="shared" ref="EG85" si="254">ED85+EF85</f>
        <v>0</v>
      </c>
      <c r="EN85" s="15">
        <f t="shared" ref="EN85" si="255">EK85+EM85</f>
        <v>0</v>
      </c>
      <c r="EQ85" s="15">
        <f t="shared" ref="EQ85" si="256">EN85+EP85</f>
        <v>0</v>
      </c>
      <c r="ET85" s="15">
        <f t="shared" ref="ET85" si="257">EQ85+ES85</f>
        <v>0</v>
      </c>
      <c r="EW85" s="15">
        <f t="shared" ref="EW85" si="258">ET85+EV85</f>
        <v>0</v>
      </c>
      <c r="EZ85" s="15">
        <f t="shared" ref="EZ85" si="259">EW85+EY85</f>
        <v>0</v>
      </c>
    </row>
    <row r="86" spans="1:161" outlineLevel="1">
      <c r="A86" s="13" t="s">
        <v>201</v>
      </c>
      <c r="B86" s="369" t="s">
        <v>137</v>
      </c>
      <c r="C86" s="10" t="s">
        <v>415</v>
      </c>
      <c r="D86" s="14"/>
      <c r="E86" s="175"/>
      <c r="F86" s="14"/>
      <c r="G86" s="175"/>
      <c r="H86" s="14"/>
      <c r="I86" s="14"/>
      <c r="J86" s="14"/>
      <c r="P86" s="15"/>
      <c r="Q86" s="15"/>
      <c r="R86" s="15"/>
      <c r="S86" s="15"/>
      <c r="X86" s="118"/>
      <c r="Z86" s="118">
        <v>26990</v>
      </c>
      <c r="AB86" s="187">
        <f t="shared" si="239"/>
        <v>26990</v>
      </c>
      <c r="AC86" s="187"/>
      <c r="AD86" s="118">
        <v>26990</v>
      </c>
      <c r="AE86" s="187"/>
      <c r="AF86" s="182"/>
      <c r="AG86" s="187"/>
      <c r="AH86" s="118">
        <v>26990</v>
      </c>
      <c r="AI86" s="187"/>
      <c r="AJ86" s="182"/>
      <c r="AK86" t="s">
        <v>417</v>
      </c>
      <c r="AL86" s="15">
        <v>26990</v>
      </c>
      <c r="AN86" s="15">
        <v>0</v>
      </c>
      <c r="AO86" s="17"/>
      <c r="AP86" s="17">
        <f t="shared" si="242"/>
        <v>0</v>
      </c>
      <c r="AQ86" s="17">
        <f t="shared" si="243"/>
        <v>0</v>
      </c>
      <c r="BA86" s="15">
        <f t="shared" si="244"/>
        <v>0</v>
      </c>
      <c r="BD86" s="15">
        <f t="shared" si="39"/>
        <v>0</v>
      </c>
      <c r="BG86" s="15">
        <f t="shared" si="138"/>
        <v>0</v>
      </c>
      <c r="BJ86" s="15">
        <f t="shared" si="139"/>
        <v>0</v>
      </c>
      <c r="BZ86" s="145"/>
    </row>
    <row r="87" spans="1:161" outlineLevel="1">
      <c r="A87" s="10" t="s">
        <v>0</v>
      </c>
      <c r="P87" s="15"/>
      <c r="Q87" s="15"/>
      <c r="R87" s="15"/>
      <c r="S87" s="15"/>
      <c r="X87" s="118"/>
      <c r="AF87" s="182"/>
      <c r="AJ87" s="182"/>
      <c r="BD87" s="15">
        <f t="shared" si="39"/>
        <v>0</v>
      </c>
      <c r="BG87" s="15">
        <f t="shared" si="138"/>
        <v>0</v>
      </c>
      <c r="BJ87" s="15">
        <f t="shared" si="139"/>
        <v>0</v>
      </c>
      <c r="BZ87" s="145"/>
    </row>
    <row r="88" spans="1:161" outlineLevel="1">
      <c r="A88" s="1" t="s">
        <v>76</v>
      </c>
      <c r="B88" s="1" t="s">
        <v>77</v>
      </c>
      <c r="C88" s="4" t="s">
        <v>78</v>
      </c>
      <c r="D88" s="8">
        <v>200</v>
      </c>
      <c r="E88" s="28">
        <v>720</v>
      </c>
      <c r="F88" s="8">
        <v>200</v>
      </c>
      <c r="G88" s="28">
        <v>720</v>
      </c>
      <c r="H88" s="9">
        <v>1440</v>
      </c>
      <c r="I88" s="14">
        <v>1440</v>
      </c>
      <c r="J88" s="14"/>
      <c r="L88" s="118">
        <v>1500</v>
      </c>
      <c r="M88" s="17">
        <f t="shared" ref="M88:M97" si="260">L88/F88-1</f>
        <v>6.5</v>
      </c>
      <c r="N88" s="17">
        <f t="shared" ref="N88:N97" si="261">L88/I88-1</f>
        <v>4.1666666666666741E-2</v>
      </c>
      <c r="P88" s="15" t="s">
        <v>310</v>
      </c>
      <c r="Q88" s="15" t="s">
        <v>310</v>
      </c>
      <c r="R88" s="15" t="s">
        <v>310</v>
      </c>
      <c r="S88" s="15" t="s">
        <v>310</v>
      </c>
      <c r="U88" s="118">
        <v>2000</v>
      </c>
      <c r="X88" s="118">
        <v>2000</v>
      </c>
      <c r="Z88" s="118">
        <v>3500</v>
      </c>
      <c r="AB88" s="187">
        <f t="shared" ref="AB88:AB97" si="262">Z88-X88</f>
        <v>1500</v>
      </c>
      <c r="AC88" s="187"/>
      <c r="AD88" s="118">
        <v>3500</v>
      </c>
      <c r="AE88" s="187"/>
      <c r="AF88" s="182"/>
      <c r="AG88" s="187"/>
      <c r="AH88" s="118">
        <v>3500</v>
      </c>
      <c r="AI88" s="187"/>
      <c r="AJ88" s="182"/>
      <c r="AL88" s="15">
        <v>3193</v>
      </c>
      <c r="AN88" s="15">
        <v>3000</v>
      </c>
      <c r="AO88" s="17">
        <f t="shared" ref="AO88:AO99" si="263">AN88/L88-1</f>
        <v>1</v>
      </c>
      <c r="AP88" s="17">
        <f t="shared" ref="AP88:AP99" si="264">AN88/AH88-1</f>
        <v>-0.1428571428571429</v>
      </c>
      <c r="AQ88" s="17">
        <f t="shared" ref="AQ88:AQ99" si="265">AN88/AL88-1</f>
        <v>-6.0444722831193287E-2</v>
      </c>
      <c r="BA88" s="15">
        <f t="shared" ref="BA88:BA97" si="266">AN88+AZ88</f>
        <v>3000</v>
      </c>
      <c r="BD88" s="15">
        <f t="shared" si="39"/>
        <v>3000</v>
      </c>
      <c r="BG88" s="15">
        <f t="shared" si="138"/>
        <v>3000</v>
      </c>
      <c r="BI88" s="15">
        <v>400</v>
      </c>
      <c r="BJ88" s="15">
        <f t="shared" si="139"/>
        <v>3400</v>
      </c>
      <c r="BL88" s="15">
        <v>4235</v>
      </c>
      <c r="BM88" s="235">
        <f t="shared" ref="BM88:BM97" si="267">BL88/BJ88</f>
        <v>1.2455882352941177</v>
      </c>
      <c r="BO88" s="15">
        <v>3000</v>
      </c>
      <c r="BP88" s="235">
        <f t="shared" ref="BP88:BP97" si="268">BO88/BL88</f>
        <v>0.70838252656434475</v>
      </c>
      <c r="BS88" s="15">
        <f t="shared" ref="BS88:BS97" si="269">BO88+BR88</f>
        <v>3000</v>
      </c>
      <c r="BV88" s="15">
        <f t="shared" ref="BV88:BV97" si="270">BS88+BU88</f>
        <v>3000</v>
      </c>
      <c r="BY88" s="15">
        <f t="shared" ref="BY88:BY97" si="271">BV88+BX88</f>
        <v>3000</v>
      </c>
      <c r="BZ88" s="145"/>
      <c r="CB88" s="15">
        <f t="shared" ref="CB88:CB97" si="272">BY88+CA88</f>
        <v>3000</v>
      </c>
      <c r="CE88" s="15">
        <f t="shared" ref="CE88:CE97" si="273">CB88+CD88</f>
        <v>3000</v>
      </c>
      <c r="CH88" s="15">
        <f t="shared" ref="CH88:CH97" si="274">CE88+CG88</f>
        <v>3000</v>
      </c>
      <c r="CK88" s="15">
        <f t="shared" ref="CK88:CK97" si="275">CH88+CJ88</f>
        <v>3000</v>
      </c>
      <c r="CN88" s="15">
        <f t="shared" ref="CN88:CN97" si="276">CK88+CM88</f>
        <v>3000</v>
      </c>
      <c r="CP88" s="15">
        <v>2178</v>
      </c>
      <c r="CR88" s="15">
        <v>2000</v>
      </c>
      <c r="CS88" s="235">
        <f t="shared" ref="CS88:CS96" si="277">CR88/CP88</f>
        <v>0.91827364554637281</v>
      </c>
      <c r="CV88" s="15">
        <f t="shared" ref="CV88:CV97" si="278">CR88+CU88</f>
        <v>2000</v>
      </c>
      <c r="CY88" s="15">
        <f t="shared" ref="CY88:CY97" si="279">CV88+CX88</f>
        <v>2000</v>
      </c>
      <c r="DB88" s="15">
        <f t="shared" ref="DB88:DB97" si="280">CY88+DA88</f>
        <v>2000</v>
      </c>
      <c r="DE88" s="15">
        <f t="shared" ref="DE88:DE97" si="281">DB88+DD88</f>
        <v>2000</v>
      </c>
      <c r="DH88" s="15">
        <f t="shared" ref="DH88:DH97" si="282">DE88+DG88</f>
        <v>2000</v>
      </c>
      <c r="DK88" s="15">
        <f t="shared" ref="DK88:DK97" si="283">DH88+DJ88</f>
        <v>2000</v>
      </c>
      <c r="DM88" s="227">
        <v>1000</v>
      </c>
      <c r="DN88" s="15">
        <f t="shared" ref="DN88:DN97" si="284">DK88+DM88</f>
        <v>3000</v>
      </c>
      <c r="DQ88" s="15">
        <f t="shared" ref="DQ88:DQ97" si="285">DN88+DP88</f>
        <v>3000</v>
      </c>
      <c r="DS88" s="15">
        <v>2860</v>
      </c>
      <c r="DU88" s="15">
        <v>3000</v>
      </c>
      <c r="DV88" s="235">
        <f t="shared" ref="DV88:DV97" si="286">DU88/DS88</f>
        <v>1.048951048951049</v>
      </c>
      <c r="DX88" s="15">
        <f t="shared" ref="DX88:DX97" si="287">DU88+DW88</f>
        <v>3000</v>
      </c>
      <c r="EA88" s="15">
        <f t="shared" ref="EA88:EA97" si="288">DX88+DZ88</f>
        <v>3000</v>
      </c>
      <c r="ED88" s="15">
        <f t="shared" ref="ED88:ED97" si="289">EA88+EC88</f>
        <v>3000</v>
      </c>
      <c r="EF88" s="227">
        <v>1100</v>
      </c>
      <c r="EG88" s="15">
        <f t="shared" ref="EG88:EG97" si="290">ED88+EF88</f>
        <v>4100</v>
      </c>
      <c r="EI88" s="15">
        <v>4735</v>
      </c>
      <c r="EK88" s="15">
        <v>4100</v>
      </c>
      <c r="EL88" s="235">
        <f t="shared" ref="EL88" si="291">EK88/EI88</f>
        <v>0.86589229144667368</v>
      </c>
      <c r="EN88" s="15">
        <f t="shared" ref="EN88:EN94" si="292">EK88+EM88</f>
        <v>4100</v>
      </c>
      <c r="EQ88" s="15">
        <f t="shared" ref="EQ88:EQ94" si="293">EN88+EP88</f>
        <v>4100</v>
      </c>
      <c r="ET88" s="15">
        <f t="shared" ref="ET88:ET94" si="294">EQ88+ES88</f>
        <v>4100</v>
      </c>
      <c r="EW88" s="15">
        <f t="shared" ref="EW88:EW94" si="295">ET88+EV88</f>
        <v>4100</v>
      </c>
      <c r="EZ88" s="189">
        <f t="shared" ref="EZ88:EZ94" si="296">EW88+EY88</f>
        <v>4100</v>
      </c>
      <c r="FB88" s="189">
        <v>3722.5</v>
      </c>
      <c r="FD88" s="15">
        <v>4100</v>
      </c>
      <c r="FE88" s="235">
        <f t="shared" ref="FE88" si="297">FD88/FB88</f>
        <v>1.101410342511753</v>
      </c>
    </row>
    <row r="89" spans="1:161" outlineLevel="1">
      <c r="A89" s="1" t="s">
        <v>76</v>
      </c>
      <c r="B89" s="1" t="s">
        <v>79</v>
      </c>
      <c r="C89" s="4" t="s">
        <v>80</v>
      </c>
      <c r="D89" s="8">
        <v>4200</v>
      </c>
      <c r="E89" s="28">
        <v>49.26</v>
      </c>
      <c r="F89" s="8">
        <v>4200</v>
      </c>
      <c r="G89" s="28">
        <v>49.26</v>
      </c>
      <c r="H89" s="9">
        <v>2069</v>
      </c>
      <c r="I89" s="14">
        <v>2800</v>
      </c>
      <c r="J89" s="14"/>
      <c r="L89" s="118">
        <v>3000</v>
      </c>
      <c r="M89" s="17">
        <f t="shared" si="260"/>
        <v>-0.2857142857142857</v>
      </c>
      <c r="N89" s="17">
        <f t="shared" si="261"/>
        <v>7.1428571428571397E-2</v>
      </c>
      <c r="P89" s="15"/>
      <c r="Q89" s="15"/>
      <c r="R89" s="15"/>
      <c r="S89" s="15"/>
      <c r="U89" s="118">
        <v>700</v>
      </c>
      <c r="X89" s="118">
        <v>700</v>
      </c>
      <c r="Z89" s="118">
        <v>700</v>
      </c>
      <c r="AB89" s="187">
        <f t="shared" si="262"/>
        <v>0</v>
      </c>
      <c r="AC89" s="187"/>
      <c r="AD89" s="118">
        <v>700</v>
      </c>
      <c r="AE89" s="187"/>
      <c r="AF89" s="182"/>
      <c r="AG89" s="187"/>
      <c r="AH89" s="118">
        <v>700</v>
      </c>
      <c r="AI89" s="187"/>
      <c r="AJ89" s="182"/>
      <c r="AL89" s="15">
        <v>700</v>
      </c>
      <c r="AN89" s="15">
        <v>500</v>
      </c>
      <c r="AO89" s="17">
        <f t="shared" si="263"/>
        <v>-0.83333333333333337</v>
      </c>
      <c r="AP89" s="17">
        <f t="shared" si="264"/>
        <v>-0.2857142857142857</v>
      </c>
      <c r="AQ89" s="17">
        <f t="shared" si="265"/>
        <v>-0.2857142857142857</v>
      </c>
      <c r="BA89" s="15">
        <f t="shared" si="266"/>
        <v>500</v>
      </c>
      <c r="BD89" s="15">
        <f t="shared" si="39"/>
        <v>500</v>
      </c>
      <c r="BG89" s="15">
        <f t="shared" si="138"/>
        <v>500</v>
      </c>
      <c r="BJ89" s="15">
        <f t="shared" si="139"/>
        <v>500</v>
      </c>
      <c r="BL89" s="15">
        <v>0</v>
      </c>
      <c r="BM89" s="235">
        <f t="shared" si="267"/>
        <v>0</v>
      </c>
      <c r="BO89" s="15">
        <v>0</v>
      </c>
      <c r="BP89" s="235" t="e">
        <f t="shared" si="268"/>
        <v>#DIV/0!</v>
      </c>
      <c r="BS89" s="15">
        <f t="shared" si="269"/>
        <v>0</v>
      </c>
      <c r="BV89" s="15">
        <f t="shared" si="270"/>
        <v>0</v>
      </c>
      <c r="BY89" s="15">
        <f t="shared" si="271"/>
        <v>0</v>
      </c>
      <c r="BZ89" s="145"/>
      <c r="CB89" s="15">
        <f t="shared" si="272"/>
        <v>0</v>
      </c>
      <c r="CE89" s="15">
        <f t="shared" si="273"/>
        <v>0</v>
      </c>
      <c r="CH89" s="15">
        <f t="shared" si="274"/>
        <v>0</v>
      </c>
      <c r="CK89" s="15">
        <f t="shared" si="275"/>
        <v>0</v>
      </c>
      <c r="CN89" s="15">
        <f t="shared" si="276"/>
        <v>0</v>
      </c>
      <c r="CP89" s="15">
        <v>0</v>
      </c>
      <c r="CS89" s="235" t="e">
        <f t="shared" si="277"/>
        <v>#DIV/0!</v>
      </c>
      <c r="CV89" s="15">
        <f t="shared" si="278"/>
        <v>0</v>
      </c>
      <c r="CY89" s="15">
        <f t="shared" si="279"/>
        <v>0</v>
      </c>
      <c r="DB89" s="15">
        <f t="shared" si="280"/>
        <v>0</v>
      </c>
      <c r="DE89" s="15">
        <f t="shared" si="281"/>
        <v>0</v>
      </c>
      <c r="DH89" s="15">
        <f t="shared" si="282"/>
        <v>0</v>
      </c>
      <c r="DK89" s="15">
        <f t="shared" si="283"/>
        <v>0</v>
      </c>
      <c r="DM89" s="227">
        <v>1000</v>
      </c>
      <c r="DN89" s="15">
        <f t="shared" si="284"/>
        <v>1000</v>
      </c>
      <c r="DQ89" s="15">
        <f t="shared" si="285"/>
        <v>1000</v>
      </c>
      <c r="DS89" s="15">
        <v>871</v>
      </c>
      <c r="DU89" s="15">
        <v>0</v>
      </c>
      <c r="DV89" s="235">
        <f t="shared" si="286"/>
        <v>0</v>
      </c>
      <c r="DX89" s="15">
        <f t="shared" si="287"/>
        <v>0</v>
      </c>
      <c r="EA89" s="15">
        <f t="shared" si="288"/>
        <v>0</v>
      </c>
      <c r="ED89" s="15">
        <f t="shared" si="289"/>
        <v>0</v>
      </c>
      <c r="EG89" s="15">
        <f t="shared" si="290"/>
        <v>0</v>
      </c>
      <c r="EN89" s="15">
        <f t="shared" si="292"/>
        <v>0</v>
      </c>
      <c r="EQ89" s="15">
        <f t="shared" si="293"/>
        <v>0</v>
      </c>
      <c r="ET89" s="15">
        <f t="shared" si="294"/>
        <v>0</v>
      </c>
      <c r="EW89" s="15">
        <f t="shared" si="295"/>
        <v>0</v>
      </c>
      <c r="EZ89" s="189">
        <f t="shared" si="296"/>
        <v>0</v>
      </c>
    </row>
    <row r="90" spans="1:161" outlineLevel="1">
      <c r="A90" s="1" t="s">
        <v>76</v>
      </c>
      <c r="B90" s="1" t="s">
        <v>54</v>
      </c>
      <c r="C90" s="4" t="s">
        <v>72</v>
      </c>
      <c r="D90" s="8">
        <v>700</v>
      </c>
      <c r="E90" s="28">
        <v>199.43</v>
      </c>
      <c r="F90" s="8">
        <v>2200</v>
      </c>
      <c r="G90" s="28">
        <v>63.45</v>
      </c>
      <c r="H90" s="9">
        <v>1396</v>
      </c>
      <c r="I90" s="14">
        <v>1396</v>
      </c>
      <c r="J90" s="14"/>
      <c r="L90" s="118">
        <v>1000</v>
      </c>
      <c r="M90" s="17">
        <f t="shared" si="260"/>
        <v>-0.54545454545454541</v>
      </c>
      <c r="N90" s="17">
        <f t="shared" si="261"/>
        <v>-0.28366762177650429</v>
      </c>
      <c r="P90" s="15"/>
      <c r="Q90" s="15"/>
      <c r="R90" s="15"/>
      <c r="S90" s="15"/>
      <c r="U90" s="118">
        <v>7600</v>
      </c>
      <c r="X90" s="118">
        <v>7600</v>
      </c>
      <c r="Z90" s="118">
        <v>13900</v>
      </c>
      <c r="AB90" s="187">
        <f t="shared" si="262"/>
        <v>6300</v>
      </c>
      <c r="AC90" s="187"/>
      <c r="AD90" s="118">
        <v>13900</v>
      </c>
      <c r="AE90" s="187"/>
      <c r="AF90" s="182"/>
      <c r="AG90" s="187"/>
      <c r="AH90" s="118">
        <v>13900</v>
      </c>
      <c r="AI90" s="187"/>
      <c r="AJ90" s="182"/>
      <c r="AL90" s="15">
        <v>7600</v>
      </c>
      <c r="AN90" s="15">
        <v>8000</v>
      </c>
      <c r="AO90" s="17">
        <f t="shared" si="263"/>
        <v>7</v>
      </c>
      <c r="AP90" s="17">
        <f t="shared" si="264"/>
        <v>-0.42446043165467628</v>
      </c>
      <c r="AQ90" s="17">
        <f t="shared" si="265"/>
        <v>5.2631578947368363E-2</v>
      </c>
      <c r="BA90" s="15">
        <f t="shared" si="266"/>
        <v>8000</v>
      </c>
      <c r="BD90" s="15">
        <f t="shared" si="39"/>
        <v>8000</v>
      </c>
      <c r="BG90" s="15">
        <f t="shared" si="138"/>
        <v>8000</v>
      </c>
      <c r="BI90" s="15">
        <v>1500</v>
      </c>
      <c r="BJ90" s="15">
        <f t="shared" si="139"/>
        <v>9500</v>
      </c>
      <c r="BL90" s="15">
        <v>8752</v>
      </c>
      <c r="BM90" s="235">
        <f t="shared" si="267"/>
        <v>0.92126315789473689</v>
      </c>
      <c r="BO90" s="15">
        <v>9000</v>
      </c>
      <c r="BP90" s="235">
        <f t="shared" si="268"/>
        <v>1.0283363802559415</v>
      </c>
      <c r="BS90" s="15">
        <f t="shared" si="269"/>
        <v>9000</v>
      </c>
      <c r="BV90" s="15">
        <f t="shared" si="270"/>
        <v>9000</v>
      </c>
      <c r="BY90" s="15">
        <f t="shared" si="271"/>
        <v>9000</v>
      </c>
      <c r="BZ90" s="145"/>
      <c r="CB90" s="15">
        <f t="shared" si="272"/>
        <v>9000</v>
      </c>
      <c r="CE90" s="15">
        <f t="shared" si="273"/>
        <v>9000</v>
      </c>
      <c r="CH90" s="15">
        <f t="shared" si="274"/>
        <v>9000</v>
      </c>
      <c r="CJ90" s="227">
        <v>-5000</v>
      </c>
      <c r="CK90" s="15">
        <f t="shared" si="275"/>
        <v>4000</v>
      </c>
      <c r="CN90" s="15">
        <f t="shared" si="276"/>
        <v>4000</v>
      </c>
      <c r="CP90" s="15">
        <v>2000</v>
      </c>
      <c r="CR90" s="15">
        <v>2000</v>
      </c>
      <c r="CS90" s="235">
        <f t="shared" si="277"/>
        <v>1</v>
      </c>
      <c r="CV90" s="15">
        <f t="shared" si="278"/>
        <v>2000</v>
      </c>
      <c r="CX90" s="227">
        <v>13000</v>
      </c>
      <c r="CY90" s="15">
        <f t="shared" si="279"/>
        <v>15000</v>
      </c>
      <c r="DB90" s="15">
        <f t="shared" si="280"/>
        <v>15000</v>
      </c>
      <c r="DD90" s="227">
        <v>5000</v>
      </c>
      <c r="DE90" s="15">
        <f t="shared" si="281"/>
        <v>20000</v>
      </c>
      <c r="DH90" s="15">
        <f t="shared" si="282"/>
        <v>20000</v>
      </c>
      <c r="DK90" s="15">
        <f t="shared" si="283"/>
        <v>20000</v>
      </c>
      <c r="DN90" s="15">
        <f t="shared" si="284"/>
        <v>20000</v>
      </c>
      <c r="DQ90" s="15">
        <f t="shared" si="285"/>
        <v>20000</v>
      </c>
      <c r="DS90" s="15">
        <v>23880</v>
      </c>
      <c r="DU90" s="15">
        <v>20000</v>
      </c>
      <c r="DV90" s="235">
        <f t="shared" si="286"/>
        <v>0.83752093802345062</v>
      </c>
      <c r="DX90" s="15">
        <f t="shared" si="287"/>
        <v>20000</v>
      </c>
      <c r="EA90" s="15">
        <f t="shared" si="288"/>
        <v>20000</v>
      </c>
      <c r="ED90" s="15">
        <f t="shared" si="289"/>
        <v>20000</v>
      </c>
      <c r="EF90" s="227">
        <v>-17000</v>
      </c>
      <c r="EG90" s="15">
        <f t="shared" si="290"/>
        <v>3000</v>
      </c>
      <c r="EI90" s="15">
        <v>64456.33</v>
      </c>
      <c r="EK90" s="15">
        <v>0</v>
      </c>
      <c r="EL90" s="235">
        <f t="shared" ref="EL90:EL97" si="298">EK90/EI90</f>
        <v>0</v>
      </c>
      <c r="EN90" s="15">
        <f t="shared" si="292"/>
        <v>0</v>
      </c>
      <c r="EQ90" s="15">
        <f t="shared" si="293"/>
        <v>0</v>
      </c>
      <c r="ET90" s="15">
        <f t="shared" si="294"/>
        <v>0</v>
      </c>
      <c r="EW90" s="15">
        <f t="shared" si="295"/>
        <v>0</v>
      </c>
      <c r="EZ90" s="189">
        <f t="shared" si="296"/>
        <v>0</v>
      </c>
      <c r="FB90" s="189">
        <v>2420</v>
      </c>
      <c r="FD90" s="15">
        <v>13000</v>
      </c>
      <c r="FE90" s="235">
        <f t="shared" ref="FE90:FE94" si="299">FD90/FB90</f>
        <v>5.3719008264462813</v>
      </c>
    </row>
    <row r="91" spans="1:161" outlineLevel="1">
      <c r="A91" s="1" t="s">
        <v>728</v>
      </c>
      <c r="B91" s="1" t="s">
        <v>729</v>
      </c>
      <c r="C91" s="4" t="s">
        <v>730</v>
      </c>
      <c r="D91" s="8"/>
      <c r="E91" s="28"/>
      <c r="F91" s="8"/>
      <c r="G91" s="28"/>
      <c r="H91" s="9"/>
      <c r="I91" s="14"/>
      <c r="J91" s="14"/>
      <c r="M91" s="17"/>
      <c r="N91" s="17"/>
      <c r="P91" s="15"/>
      <c r="Q91" s="15"/>
      <c r="R91" s="15"/>
      <c r="S91" s="15"/>
      <c r="X91" s="118"/>
      <c r="AB91" s="187"/>
      <c r="AC91" s="187"/>
      <c r="AE91" s="187"/>
      <c r="AF91" s="182"/>
      <c r="AG91" s="187"/>
      <c r="AI91" s="187"/>
      <c r="AJ91" s="182"/>
      <c r="AO91" s="17"/>
      <c r="AP91" s="17"/>
      <c r="AQ91" s="17"/>
      <c r="BA91" s="15"/>
      <c r="BD91" s="15"/>
      <c r="BG91" s="15"/>
      <c r="BJ91" s="15"/>
      <c r="BM91" s="235"/>
      <c r="BP91" s="235"/>
      <c r="BS91" s="15"/>
      <c r="BV91" s="15"/>
      <c r="BY91" s="15"/>
      <c r="BZ91" s="145"/>
      <c r="CB91" s="15"/>
      <c r="CE91" s="15"/>
      <c r="CH91" s="15"/>
      <c r="CJ91" s="227"/>
      <c r="CK91" s="15"/>
      <c r="CN91" s="15"/>
      <c r="CS91" s="235"/>
      <c r="CV91" s="15"/>
      <c r="CX91" s="227"/>
      <c r="CY91" s="15"/>
      <c r="DB91" s="15"/>
      <c r="DD91" s="227"/>
      <c r="DE91" s="15"/>
      <c r="DH91" s="15"/>
      <c r="DK91" s="15"/>
      <c r="DN91" s="15"/>
      <c r="DQ91" s="15"/>
      <c r="DV91" s="235"/>
      <c r="DX91" s="15"/>
      <c r="EA91" s="15"/>
      <c r="ED91" s="15"/>
      <c r="EF91" s="227"/>
      <c r="EG91" s="15"/>
      <c r="EL91" s="235"/>
      <c r="EN91" s="15"/>
      <c r="EQ91" s="15"/>
      <c r="ET91" s="15"/>
      <c r="EW91" s="15"/>
      <c r="EZ91" s="189"/>
      <c r="FB91" s="189">
        <v>726</v>
      </c>
      <c r="FE91" s="235"/>
    </row>
    <row r="92" spans="1:161" outlineLevel="1">
      <c r="A92" s="1" t="s">
        <v>76</v>
      </c>
      <c r="B92" s="1" t="s">
        <v>50</v>
      </c>
      <c r="C92" s="4" t="s">
        <v>51</v>
      </c>
      <c r="D92" s="8">
        <v>600</v>
      </c>
      <c r="E92" s="28">
        <v>2375</v>
      </c>
      <c r="F92" s="8">
        <v>15600</v>
      </c>
      <c r="G92" s="28">
        <v>91.35</v>
      </c>
      <c r="H92" s="9">
        <v>14250</v>
      </c>
      <c r="I92" s="14">
        <v>14250</v>
      </c>
      <c r="J92" s="14"/>
      <c r="L92" s="118">
        <f>3*7500</f>
        <v>22500</v>
      </c>
      <c r="M92" s="17">
        <f t="shared" si="260"/>
        <v>0.44230769230769229</v>
      </c>
      <c r="N92" s="17">
        <f t="shared" si="261"/>
        <v>0.57894736842105265</v>
      </c>
      <c r="P92" s="15" t="s">
        <v>313</v>
      </c>
      <c r="Q92" s="15" t="s">
        <v>313</v>
      </c>
      <c r="R92" s="15" t="s">
        <v>313</v>
      </c>
      <c r="S92" s="15" t="s">
        <v>313</v>
      </c>
      <c r="U92" s="118">
        <v>19000</v>
      </c>
      <c r="X92" s="118">
        <v>19000</v>
      </c>
      <c r="Z92" s="118">
        <v>18980</v>
      </c>
      <c r="AB92" s="187">
        <f t="shared" si="262"/>
        <v>-20</v>
      </c>
      <c r="AC92" s="187"/>
      <c r="AD92" s="118">
        <v>18980</v>
      </c>
      <c r="AE92" s="187"/>
      <c r="AF92" s="182"/>
      <c r="AG92" s="187"/>
      <c r="AH92" s="118">
        <v>18980</v>
      </c>
      <c r="AI92" s="187"/>
      <c r="AJ92" s="182"/>
      <c r="AK92" t="s">
        <v>313</v>
      </c>
      <c r="AL92" s="15">
        <v>17250</v>
      </c>
      <c r="AN92" s="15">
        <v>17300</v>
      </c>
      <c r="AO92" s="17">
        <f t="shared" si="263"/>
        <v>-0.23111111111111116</v>
      </c>
      <c r="AP92" s="17">
        <f t="shared" si="264"/>
        <v>-8.85142255005269E-2</v>
      </c>
      <c r="AQ92" s="17">
        <f t="shared" si="265"/>
        <v>2.8985507246377384E-3</v>
      </c>
      <c r="BA92" s="15">
        <f t="shared" si="266"/>
        <v>17300</v>
      </c>
      <c r="BD92" s="15">
        <f t="shared" si="39"/>
        <v>17300</v>
      </c>
      <c r="BG92" s="15">
        <f t="shared" si="138"/>
        <v>17300</v>
      </c>
      <c r="BJ92" s="15">
        <f t="shared" si="139"/>
        <v>17300</v>
      </c>
      <c r="BL92" s="15">
        <v>16000</v>
      </c>
      <c r="BM92" s="235">
        <f t="shared" si="267"/>
        <v>0.92485549132947975</v>
      </c>
      <c r="BO92" s="15">
        <v>15000</v>
      </c>
      <c r="BP92" s="235">
        <f t="shared" si="268"/>
        <v>0.9375</v>
      </c>
      <c r="BS92" s="15">
        <f t="shared" si="269"/>
        <v>15000</v>
      </c>
      <c r="BV92" s="15">
        <f t="shared" si="270"/>
        <v>15000</v>
      </c>
      <c r="BY92" s="15">
        <f t="shared" si="271"/>
        <v>15000</v>
      </c>
      <c r="BZ92" s="145"/>
      <c r="CB92" s="15">
        <f t="shared" si="272"/>
        <v>15000</v>
      </c>
      <c r="CE92" s="15">
        <f t="shared" si="273"/>
        <v>15000</v>
      </c>
      <c r="CH92" s="15">
        <f t="shared" si="274"/>
        <v>15000</v>
      </c>
      <c r="CJ92" s="227">
        <v>-15000</v>
      </c>
      <c r="CK92" s="15">
        <f t="shared" si="275"/>
        <v>0</v>
      </c>
      <c r="CN92" s="15">
        <f t="shared" si="276"/>
        <v>0</v>
      </c>
      <c r="CP92" s="15">
        <v>0</v>
      </c>
      <c r="CR92" s="15">
        <v>7000</v>
      </c>
      <c r="CS92" s="235" t="e">
        <f t="shared" si="277"/>
        <v>#DIV/0!</v>
      </c>
      <c r="CV92" s="15">
        <f t="shared" si="278"/>
        <v>7000</v>
      </c>
      <c r="CY92" s="15">
        <f t="shared" si="279"/>
        <v>7000</v>
      </c>
      <c r="DB92" s="15">
        <f t="shared" si="280"/>
        <v>7000</v>
      </c>
      <c r="DE92" s="15">
        <f t="shared" si="281"/>
        <v>7000</v>
      </c>
      <c r="DH92" s="15">
        <f t="shared" si="282"/>
        <v>7000</v>
      </c>
      <c r="DK92" s="15">
        <f t="shared" si="283"/>
        <v>7000</v>
      </c>
      <c r="DN92" s="15">
        <f t="shared" si="284"/>
        <v>7000</v>
      </c>
      <c r="DQ92" s="15">
        <f t="shared" si="285"/>
        <v>7000</v>
      </c>
      <c r="DS92" s="15">
        <v>0</v>
      </c>
      <c r="DU92" s="15">
        <v>100</v>
      </c>
      <c r="DV92" s="235" t="e">
        <f t="shared" si="286"/>
        <v>#DIV/0!</v>
      </c>
      <c r="DX92" s="15">
        <f t="shared" si="287"/>
        <v>100</v>
      </c>
      <c r="EA92" s="15">
        <f t="shared" si="288"/>
        <v>100</v>
      </c>
      <c r="ED92" s="15">
        <f t="shared" si="289"/>
        <v>100</v>
      </c>
      <c r="EG92" s="15">
        <f t="shared" si="290"/>
        <v>100</v>
      </c>
      <c r="EI92" s="15">
        <v>0</v>
      </c>
      <c r="EK92" s="15">
        <v>100</v>
      </c>
      <c r="EL92" s="235" t="e">
        <f t="shared" si="298"/>
        <v>#DIV/0!</v>
      </c>
      <c r="EN92" s="15">
        <f t="shared" si="292"/>
        <v>100</v>
      </c>
      <c r="EQ92" s="15">
        <f t="shared" si="293"/>
        <v>100</v>
      </c>
      <c r="ET92" s="15">
        <f t="shared" si="294"/>
        <v>100</v>
      </c>
      <c r="EW92" s="15">
        <f t="shared" si="295"/>
        <v>100</v>
      </c>
      <c r="EZ92" s="189">
        <f t="shared" si="296"/>
        <v>100</v>
      </c>
      <c r="FB92" s="189">
        <v>121</v>
      </c>
      <c r="FD92" s="15">
        <v>100</v>
      </c>
      <c r="FE92" s="235">
        <f t="shared" si="299"/>
        <v>0.82644628099173556</v>
      </c>
    </row>
    <row r="93" spans="1:161" outlineLevel="1">
      <c r="A93" s="1" t="s">
        <v>76</v>
      </c>
      <c r="B93" s="1" t="s">
        <v>81</v>
      </c>
      <c r="C93" s="4" t="s">
        <v>82</v>
      </c>
      <c r="D93" s="8">
        <v>32000</v>
      </c>
      <c r="E93" s="28">
        <v>173.51</v>
      </c>
      <c r="F93" s="8">
        <v>32000</v>
      </c>
      <c r="G93" s="28">
        <v>173.51</v>
      </c>
      <c r="H93" s="9">
        <v>55523</v>
      </c>
      <c r="I93" s="14">
        <v>55523</v>
      </c>
      <c r="J93" s="14"/>
      <c r="L93" s="118">
        <v>49000</v>
      </c>
      <c r="M93" s="17">
        <f t="shared" si="260"/>
        <v>0.53125</v>
      </c>
      <c r="N93" s="17">
        <f t="shared" si="261"/>
        <v>-0.11748284494713901</v>
      </c>
      <c r="P93" s="15" t="s">
        <v>314</v>
      </c>
      <c r="Q93" s="15" t="s">
        <v>314</v>
      </c>
      <c r="R93" s="15" t="s">
        <v>314</v>
      </c>
      <c r="S93" s="15" t="s">
        <v>314</v>
      </c>
      <c r="U93" s="118">
        <v>38000</v>
      </c>
      <c r="X93" s="118">
        <v>38000</v>
      </c>
      <c r="Z93" s="118">
        <v>28000</v>
      </c>
      <c r="AB93" s="187">
        <f t="shared" si="262"/>
        <v>-10000</v>
      </c>
      <c r="AC93" s="187"/>
      <c r="AD93" s="118">
        <v>28000</v>
      </c>
      <c r="AE93" s="187"/>
      <c r="AF93" s="182"/>
      <c r="AG93" s="187"/>
      <c r="AH93" s="118">
        <v>28000</v>
      </c>
      <c r="AI93" s="187"/>
      <c r="AJ93" s="182"/>
      <c r="AK93" t="s">
        <v>425</v>
      </c>
      <c r="AL93" s="15">
        <v>16415</v>
      </c>
      <c r="AN93" s="196">
        <v>20000</v>
      </c>
      <c r="AO93" s="17">
        <f t="shared" si="263"/>
        <v>-0.59183673469387754</v>
      </c>
      <c r="AP93" s="17">
        <f t="shared" si="264"/>
        <v>-0.2857142857142857</v>
      </c>
      <c r="AQ93" s="17">
        <f t="shared" si="265"/>
        <v>0.21839780688394761</v>
      </c>
      <c r="BA93" s="15">
        <f t="shared" si="266"/>
        <v>20000</v>
      </c>
      <c r="BD93" s="15">
        <f t="shared" si="39"/>
        <v>20000</v>
      </c>
      <c r="BG93" s="15">
        <f t="shared" si="138"/>
        <v>20000</v>
      </c>
      <c r="BI93" s="15">
        <v>8000</v>
      </c>
      <c r="BJ93" s="15">
        <f t="shared" si="139"/>
        <v>28000</v>
      </c>
      <c r="BL93" s="15">
        <v>33799</v>
      </c>
      <c r="BM93" s="235">
        <f t="shared" si="267"/>
        <v>1.2071071428571429</v>
      </c>
      <c r="BO93" s="15">
        <v>35000</v>
      </c>
      <c r="BP93" s="235">
        <f t="shared" si="268"/>
        <v>1.035533595668511</v>
      </c>
      <c r="BS93" s="15">
        <f t="shared" si="269"/>
        <v>35000</v>
      </c>
      <c r="BV93" s="15">
        <f t="shared" si="270"/>
        <v>35000</v>
      </c>
      <c r="BY93" s="15">
        <f t="shared" si="271"/>
        <v>35000</v>
      </c>
      <c r="BZ93" s="145"/>
      <c r="CB93" s="15">
        <f t="shared" si="272"/>
        <v>35000</v>
      </c>
      <c r="CE93" s="15">
        <f t="shared" si="273"/>
        <v>35000</v>
      </c>
      <c r="CH93" s="15">
        <f t="shared" si="274"/>
        <v>35000</v>
      </c>
      <c r="CJ93" s="227">
        <v>-25000</v>
      </c>
      <c r="CK93" s="15">
        <f t="shared" si="275"/>
        <v>10000</v>
      </c>
      <c r="CN93" s="15">
        <f t="shared" si="276"/>
        <v>10000</v>
      </c>
      <c r="CP93" s="15">
        <v>11694</v>
      </c>
      <c r="CR93" s="15">
        <v>10000</v>
      </c>
      <c r="CS93" s="235">
        <f t="shared" si="277"/>
        <v>0.85513938772019837</v>
      </c>
      <c r="CV93" s="15">
        <f t="shared" si="278"/>
        <v>10000</v>
      </c>
      <c r="CY93" s="15">
        <f t="shared" si="279"/>
        <v>10000</v>
      </c>
      <c r="DB93" s="15">
        <f t="shared" si="280"/>
        <v>10000</v>
      </c>
      <c r="DE93" s="15">
        <f t="shared" si="281"/>
        <v>10000</v>
      </c>
      <c r="DH93" s="15">
        <f t="shared" si="282"/>
        <v>10000</v>
      </c>
      <c r="DK93" s="15">
        <f t="shared" si="283"/>
        <v>10000</v>
      </c>
      <c r="DN93" s="15">
        <f t="shared" si="284"/>
        <v>10000</v>
      </c>
      <c r="DQ93" s="15">
        <f t="shared" si="285"/>
        <v>10000</v>
      </c>
      <c r="DS93" s="15">
        <v>6573</v>
      </c>
      <c r="DU93" s="15">
        <v>5300</v>
      </c>
      <c r="DV93" s="235">
        <f t="shared" si="286"/>
        <v>0.80632892134489575</v>
      </c>
      <c r="DX93" s="15">
        <f t="shared" si="287"/>
        <v>5300</v>
      </c>
      <c r="EA93" s="15">
        <f t="shared" si="288"/>
        <v>5300</v>
      </c>
      <c r="ED93" s="15">
        <f t="shared" si="289"/>
        <v>5300</v>
      </c>
      <c r="EG93" s="15">
        <f t="shared" si="290"/>
        <v>5300</v>
      </c>
      <c r="EI93" s="15">
        <v>2541</v>
      </c>
      <c r="EK93" s="15">
        <v>400</v>
      </c>
      <c r="EL93" s="235">
        <f t="shared" si="298"/>
        <v>0.15741833923652104</v>
      </c>
      <c r="EN93" s="15">
        <f t="shared" si="292"/>
        <v>400</v>
      </c>
      <c r="EQ93" s="15">
        <f t="shared" si="293"/>
        <v>400</v>
      </c>
      <c r="ET93" s="15">
        <f t="shared" si="294"/>
        <v>400</v>
      </c>
      <c r="EV93" s="227">
        <v>5000</v>
      </c>
      <c r="EW93" s="15">
        <f t="shared" si="295"/>
        <v>5400</v>
      </c>
      <c r="EZ93" s="189">
        <f t="shared" si="296"/>
        <v>5400</v>
      </c>
      <c r="FB93" s="189">
        <v>5121</v>
      </c>
      <c r="FD93" s="15">
        <v>400</v>
      </c>
      <c r="FE93" s="235">
        <f t="shared" si="299"/>
        <v>7.8109744190587777E-2</v>
      </c>
    </row>
    <row r="94" spans="1:161" outlineLevel="1">
      <c r="A94" s="1" t="s">
        <v>76</v>
      </c>
      <c r="B94" s="1" t="s">
        <v>418</v>
      </c>
      <c r="C94" s="4" t="s">
        <v>419</v>
      </c>
      <c r="D94" s="8"/>
      <c r="E94" s="28"/>
      <c r="F94" s="8"/>
      <c r="G94" s="28"/>
      <c r="H94" s="9"/>
      <c r="I94" s="14"/>
      <c r="J94" s="14"/>
      <c r="M94" s="17"/>
      <c r="N94" s="17"/>
      <c r="P94" s="15"/>
      <c r="Q94" s="15"/>
      <c r="R94" s="15"/>
      <c r="S94" s="15"/>
      <c r="X94" s="118"/>
      <c r="Z94" s="118">
        <v>500</v>
      </c>
      <c r="AB94" s="187">
        <f t="shared" si="262"/>
        <v>500</v>
      </c>
      <c r="AC94" s="187"/>
      <c r="AD94" s="118">
        <v>500</v>
      </c>
      <c r="AE94" s="187"/>
      <c r="AF94" s="182"/>
      <c r="AG94" s="187"/>
      <c r="AH94" s="118">
        <v>500</v>
      </c>
      <c r="AI94" s="187"/>
      <c r="AJ94" s="182"/>
      <c r="AL94" s="15">
        <v>345</v>
      </c>
      <c r="AN94" s="15">
        <v>500</v>
      </c>
      <c r="AO94" s="17"/>
      <c r="AP94" s="17">
        <f t="shared" si="264"/>
        <v>0</v>
      </c>
      <c r="AQ94" s="17">
        <f t="shared" si="265"/>
        <v>0.44927536231884058</v>
      </c>
      <c r="BA94" s="15">
        <f t="shared" si="266"/>
        <v>500</v>
      </c>
      <c r="BD94" s="15">
        <f t="shared" si="39"/>
        <v>500</v>
      </c>
      <c r="BG94" s="15">
        <f t="shared" si="138"/>
        <v>500</v>
      </c>
      <c r="BI94" s="15">
        <v>2500</v>
      </c>
      <c r="BJ94" s="15">
        <f t="shared" si="139"/>
        <v>3000</v>
      </c>
      <c r="BL94" s="15">
        <v>2632</v>
      </c>
      <c r="BM94" s="235">
        <f t="shared" si="267"/>
        <v>0.8773333333333333</v>
      </c>
      <c r="BO94" s="15">
        <v>500</v>
      </c>
      <c r="BP94" s="235">
        <f t="shared" si="268"/>
        <v>0.1899696048632219</v>
      </c>
      <c r="BS94" s="15">
        <f t="shared" si="269"/>
        <v>500</v>
      </c>
      <c r="BV94" s="15">
        <f t="shared" si="270"/>
        <v>500</v>
      </c>
      <c r="BY94" s="15">
        <f t="shared" si="271"/>
        <v>500</v>
      </c>
      <c r="BZ94" s="145"/>
      <c r="CB94" s="15">
        <f t="shared" si="272"/>
        <v>500</v>
      </c>
      <c r="CE94" s="15">
        <f t="shared" si="273"/>
        <v>500</v>
      </c>
      <c r="CH94" s="15">
        <f t="shared" si="274"/>
        <v>500</v>
      </c>
      <c r="CK94" s="15">
        <f t="shared" si="275"/>
        <v>500</v>
      </c>
      <c r="CN94" s="15">
        <f t="shared" si="276"/>
        <v>500</v>
      </c>
      <c r="CP94" s="15">
        <v>250</v>
      </c>
      <c r="CR94" s="15">
        <v>0</v>
      </c>
      <c r="CS94" s="235">
        <f t="shared" si="277"/>
        <v>0</v>
      </c>
      <c r="CV94" s="15">
        <f t="shared" si="278"/>
        <v>0</v>
      </c>
      <c r="CY94" s="15">
        <f t="shared" si="279"/>
        <v>0</v>
      </c>
      <c r="DB94" s="15">
        <f t="shared" si="280"/>
        <v>0</v>
      </c>
      <c r="DE94" s="15">
        <f t="shared" si="281"/>
        <v>0</v>
      </c>
      <c r="DG94" s="227">
        <v>3000</v>
      </c>
      <c r="DH94" s="15">
        <f t="shared" si="282"/>
        <v>3000</v>
      </c>
      <c r="DK94" s="15">
        <f t="shared" si="283"/>
        <v>3000</v>
      </c>
      <c r="DN94" s="15">
        <f t="shared" si="284"/>
        <v>3000</v>
      </c>
      <c r="DQ94" s="15">
        <f t="shared" si="285"/>
        <v>3000</v>
      </c>
      <c r="DS94" s="15">
        <v>853</v>
      </c>
      <c r="DU94" s="15">
        <v>2000</v>
      </c>
      <c r="DV94" s="235">
        <f t="shared" si="286"/>
        <v>2.3446658851113718</v>
      </c>
      <c r="DX94" s="15">
        <f t="shared" si="287"/>
        <v>2000</v>
      </c>
      <c r="EA94" s="15">
        <f t="shared" si="288"/>
        <v>2000</v>
      </c>
      <c r="ED94" s="15">
        <f t="shared" si="289"/>
        <v>2000</v>
      </c>
      <c r="EF94" s="227">
        <v>2000</v>
      </c>
      <c r="EG94" s="15">
        <f t="shared" si="290"/>
        <v>4000</v>
      </c>
      <c r="EI94" s="15">
        <v>4792</v>
      </c>
      <c r="EK94" s="15">
        <v>5000</v>
      </c>
      <c r="EL94" s="235">
        <f t="shared" si="298"/>
        <v>1.0434056761268782</v>
      </c>
      <c r="EN94" s="15">
        <f t="shared" si="292"/>
        <v>5000</v>
      </c>
      <c r="EQ94" s="15">
        <f t="shared" si="293"/>
        <v>5000</v>
      </c>
      <c r="ET94" s="15">
        <f t="shared" si="294"/>
        <v>5000</v>
      </c>
      <c r="EW94" s="15">
        <f t="shared" si="295"/>
        <v>5000</v>
      </c>
      <c r="EZ94" s="189">
        <f t="shared" si="296"/>
        <v>5000</v>
      </c>
      <c r="FB94" s="189">
        <v>5664</v>
      </c>
      <c r="FD94" s="15">
        <v>5000</v>
      </c>
      <c r="FE94" s="235">
        <f t="shared" si="299"/>
        <v>0.88276836158192096</v>
      </c>
    </row>
    <row r="95" spans="1:161" outlineLevel="1">
      <c r="A95" s="1" t="s">
        <v>76</v>
      </c>
      <c r="B95" s="1" t="s">
        <v>297</v>
      </c>
      <c r="C95" s="4" t="s">
        <v>691</v>
      </c>
      <c r="D95" s="8"/>
      <c r="E95" s="28"/>
      <c r="F95" s="8"/>
      <c r="G95" s="28"/>
      <c r="H95" s="9"/>
      <c r="I95" s="14"/>
      <c r="J95" s="14"/>
      <c r="M95" s="17"/>
      <c r="N95" s="17"/>
      <c r="P95" s="15"/>
      <c r="Q95" s="15"/>
      <c r="R95" s="15"/>
      <c r="S95" s="15"/>
      <c r="X95" s="118"/>
      <c r="AB95" s="187"/>
      <c r="AC95" s="187"/>
      <c r="AE95" s="187"/>
      <c r="AF95" s="182"/>
      <c r="AG95" s="187"/>
      <c r="AI95" s="187"/>
      <c r="AJ95" s="182"/>
      <c r="AO95" s="17"/>
      <c r="AP95" s="17"/>
      <c r="AQ95" s="17"/>
      <c r="BA95" s="15"/>
      <c r="BD95" s="15"/>
      <c r="BG95" s="15"/>
      <c r="BJ95" s="15"/>
      <c r="BM95" s="235"/>
      <c r="BP95" s="235"/>
      <c r="BS95" s="15"/>
      <c r="BV95" s="15"/>
      <c r="BY95" s="15"/>
      <c r="BZ95" s="145"/>
      <c r="CB95" s="15"/>
      <c r="CE95" s="15"/>
      <c r="CH95" s="15"/>
      <c r="CK95" s="15"/>
      <c r="CN95" s="15"/>
      <c r="CS95" s="235"/>
      <c r="CV95" s="15"/>
      <c r="CY95" s="15"/>
      <c r="DB95" s="15"/>
      <c r="DE95" s="15"/>
      <c r="DG95" s="227"/>
      <c r="DH95" s="15"/>
      <c r="DK95" s="15"/>
      <c r="DN95" s="15"/>
      <c r="DQ95" s="15"/>
      <c r="DV95" s="235"/>
      <c r="DX95" s="15"/>
      <c r="EA95" s="15"/>
      <c r="ED95" s="15"/>
      <c r="EF95" s="227"/>
      <c r="EG95" s="15"/>
      <c r="EI95" s="15">
        <v>36390</v>
      </c>
      <c r="EK95" s="15">
        <v>0</v>
      </c>
      <c r="EL95" s="235"/>
      <c r="EN95" s="15"/>
      <c r="EQ95" s="15"/>
      <c r="ET95" s="15"/>
      <c r="EW95" s="15"/>
      <c r="EZ95" s="189"/>
      <c r="FD95" s="15">
        <v>0</v>
      </c>
      <c r="FE95" s="235"/>
    </row>
    <row r="96" spans="1:161" outlineLevel="1">
      <c r="A96" s="1" t="s">
        <v>76</v>
      </c>
      <c r="B96" s="1" t="s">
        <v>67</v>
      </c>
      <c r="C96" s="4" t="s">
        <v>554</v>
      </c>
      <c r="D96" s="8"/>
      <c r="E96" s="28"/>
      <c r="F96" s="8"/>
      <c r="G96" s="28"/>
      <c r="H96" s="9"/>
      <c r="I96" s="14"/>
      <c r="J96" s="14"/>
      <c r="M96" s="17"/>
      <c r="N96" s="17"/>
      <c r="P96" s="15"/>
      <c r="Q96" s="15"/>
      <c r="R96" s="15"/>
      <c r="S96" s="15"/>
      <c r="X96" s="118"/>
      <c r="AB96" s="187"/>
      <c r="AC96" s="187"/>
      <c r="AE96" s="187"/>
      <c r="AF96" s="182"/>
      <c r="AG96" s="187"/>
      <c r="AI96" s="187"/>
      <c r="AJ96" s="182"/>
      <c r="AO96" s="17"/>
      <c r="AP96" s="17"/>
      <c r="AQ96" s="17"/>
      <c r="BA96" s="15"/>
      <c r="BD96" s="15"/>
      <c r="BG96" s="15"/>
      <c r="BJ96" s="15"/>
      <c r="BM96" s="235"/>
      <c r="BP96" s="235"/>
      <c r="BR96" s="15">
        <v>1140</v>
      </c>
      <c r="BS96" s="15">
        <f t="shared" si="269"/>
        <v>1140</v>
      </c>
      <c r="BV96" s="15">
        <f t="shared" si="270"/>
        <v>1140</v>
      </c>
      <c r="BY96" s="15">
        <f t="shared" si="271"/>
        <v>1140</v>
      </c>
      <c r="BZ96" s="145"/>
      <c r="CB96" s="15">
        <f t="shared" si="272"/>
        <v>1140</v>
      </c>
      <c r="CE96" s="15">
        <f t="shared" si="273"/>
        <v>1140</v>
      </c>
      <c r="CH96" s="15">
        <f t="shared" si="274"/>
        <v>1140</v>
      </c>
      <c r="CK96" s="15">
        <f t="shared" si="275"/>
        <v>1140</v>
      </c>
      <c r="CN96" s="15">
        <f t="shared" si="276"/>
        <v>1140</v>
      </c>
      <c r="CP96" s="15">
        <v>1100</v>
      </c>
      <c r="CR96" s="15">
        <v>0</v>
      </c>
      <c r="CS96" s="235">
        <f t="shared" si="277"/>
        <v>0</v>
      </c>
      <c r="CV96" s="15">
        <f t="shared" si="278"/>
        <v>0</v>
      </c>
      <c r="CY96" s="15">
        <f t="shared" si="279"/>
        <v>0</v>
      </c>
      <c r="DB96" s="15">
        <f t="shared" si="280"/>
        <v>0</v>
      </c>
      <c r="DE96" s="15">
        <f t="shared" si="281"/>
        <v>0</v>
      </c>
      <c r="DH96" s="15">
        <f t="shared" si="282"/>
        <v>0</v>
      </c>
      <c r="DK96" s="15">
        <f t="shared" si="283"/>
        <v>0</v>
      </c>
      <c r="DN96" s="15">
        <f t="shared" si="284"/>
        <v>0</v>
      </c>
      <c r="DQ96" s="15">
        <f t="shared" si="285"/>
        <v>0</v>
      </c>
      <c r="DU96" s="15">
        <v>0</v>
      </c>
      <c r="DV96" s="235" t="e">
        <f t="shared" si="286"/>
        <v>#DIV/0!</v>
      </c>
      <c r="DX96" s="15">
        <f t="shared" si="287"/>
        <v>0</v>
      </c>
      <c r="DZ96" s="227">
        <v>84768.76</v>
      </c>
      <c r="EA96" s="15">
        <f t="shared" si="288"/>
        <v>84768.76</v>
      </c>
      <c r="ED96" s="15">
        <f t="shared" si="289"/>
        <v>84768.76</v>
      </c>
      <c r="EG96" s="15">
        <f t="shared" si="290"/>
        <v>84768.76</v>
      </c>
      <c r="EI96" s="15">
        <v>84769</v>
      </c>
      <c r="EK96" s="15">
        <v>0</v>
      </c>
      <c r="EL96" s="235">
        <f t="shared" si="298"/>
        <v>0</v>
      </c>
      <c r="EM96" s="227">
        <v>136760.19</v>
      </c>
      <c r="EN96" s="15">
        <f t="shared" ref="EN96:EN97" si="300">EK96+EM96</f>
        <v>136760.19</v>
      </c>
      <c r="EQ96" s="15">
        <f t="shared" ref="EQ96:EQ97" si="301">EN96+EP96</f>
        <v>136760.19</v>
      </c>
      <c r="ET96" s="15">
        <f t="shared" ref="ET96:ET97" si="302">EQ96+ES96</f>
        <v>136760.19</v>
      </c>
      <c r="EW96" s="15">
        <f t="shared" ref="EW96:EW97" si="303">ET96+EV96</f>
        <v>136760.19</v>
      </c>
      <c r="EZ96" s="189">
        <f t="shared" ref="EZ96:EZ97" si="304">EW96+EY96</f>
        <v>136760.19</v>
      </c>
      <c r="FB96" s="189">
        <v>136770.19</v>
      </c>
      <c r="FD96" s="15">
        <v>0</v>
      </c>
      <c r="FE96" s="235">
        <f t="shared" ref="FE96:FE99" si="305">FD96/FB96</f>
        <v>0</v>
      </c>
    </row>
    <row r="97" spans="1:161" outlineLevel="1">
      <c r="A97" s="1" t="s">
        <v>76</v>
      </c>
      <c r="B97" s="1" t="s">
        <v>61</v>
      </c>
      <c r="C97" s="4" t="s">
        <v>62</v>
      </c>
      <c r="D97" s="8">
        <v>0</v>
      </c>
      <c r="E97" s="28">
        <v>0</v>
      </c>
      <c r="F97" s="8">
        <v>0</v>
      </c>
      <c r="G97" s="28">
        <v>0</v>
      </c>
      <c r="H97" s="9">
        <v>2541</v>
      </c>
      <c r="I97" s="14">
        <v>2541</v>
      </c>
      <c r="J97" s="14"/>
      <c r="L97" s="118">
        <v>1000</v>
      </c>
      <c r="M97" s="17" t="e">
        <f t="shared" si="260"/>
        <v>#DIV/0!</v>
      </c>
      <c r="N97" s="17">
        <f t="shared" si="261"/>
        <v>-0.60645415190869734</v>
      </c>
      <c r="P97" s="15" t="s">
        <v>295</v>
      </c>
      <c r="Q97" s="15" t="s">
        <v>295</v>
      </c>
      <c r="R97" s="15" t="s">
        <v>295</v>
      </c>
      <c r="S97" s="15" t="s">
        <v>295</v>
      </c>
      <c r="U97" s="118">
        <v>1600</v>
      </c>
      <c r="X97" s="118">
        <v>1600</v>
      </c>
      <c r="Z97" s="118">
        <v>1600</v>
      </c>
      <c r="AB97" s="187">
        <f t="shared" si="262"/>
        <v>0</v>
      </c>
      <c r="AC97" s="187"/>
      <c r="AD97" s="118">
        <v>1600</v>
      </c>
      <c r="AE97" s="187"/>
      <c r="AF97" s="182"/>
      <c r="AG97" s="187"/>
      <c r="AH97" s="118">
        <v>1600</v>
      </c>
      <c r="AI97" s="187"/>
      <c r="AJ97" s="182"/>
      <c r="AL97" s="15">
        <v>1567</v>
      </c>
      <c r="AN97" s="15">
        <v>1000</v>
      </c>
      <c r="AO97" s="17">
        <f t="shared" si="263"/>
        <v>0</v>
      </c>
      <c r="AP97" s="17">
        <f t="shared" si="264"/>
        <v>-0.375</v>
      </c>
      <c r="AQ97" s="17">
        <f t="shared" si="265"/>
        <v>-0.36183790682833439</v>
      </c>
      <c r="BA97" s="15">
        <f t="shared" si="266"/>
        <v>1000</v>
      </c>
      <c r="BD97" s="15">
        <f t="shared" si="39"/>
        <v>1000</v>
      </c>
      <c r="BG97" s="15">
        <f t="shared" si="138"/>
        <v>1000</v>
      </c>
      <c r="BI97" s="15">
        <v>17000</v>
      </c>
      <c r="BJ97" s="15">
        <f t="shared" si="139"/>
        <v>18000</v>
      </c>
      <c r="BL97" s="15">
        <v>18400</v>
      </c>
      <c r="BM97" s="235">
        <f t="shared" si="267"/>
        <v>1.0222222222222221</v>
      </c>
      <c r="BO97" s="15">
        <v>30000</v>
      </c>
      <c r="BP97" s="235">
        <f t="shared" si="268"/>
        <v>1.6304347826086956</v>
      </c>
      <c r="BS97" s="15">
        <f t="shared" si="269"/>
        <v>30000</v>
      </c>
      <c r="BV97" s="15">
        <f t="shared" si="270"/>
        <v>30000</v>
      </c>
      <c r="BY97" s="15">
        <f t="shared" si="271"/>
        <v>30000</v>
      </c>
      <c r="BZ97" s="145">
        <v>29144</v>
      </c>
      <c r="CB97" s="15">
        <f t="shared" si="272"/>
        <v>30000</v>
      </c>
      <c r="CE97" s="15">
        <f t="shared" si="273"/>
        <v>30000</v>
      </c>
      <c r="CH97" s="15">
        <f t="shared" si="274"/>
        <v>30000</v>
      </c>
      <c r="CJ97" s="227">
        <v>30000</v>
      </c>
      <c r="CK97" s="15">
        <f t="shared" si="275"/>
        <v>60000</v>
      </c>
      <c r="CN97" s="15">
        <f t="shared" si="276"/>
        <v>60000</v>
      </c>
      <c r="CP97" s="15">
        <v>59144</v>
      </c>
      <c r="CR97" s="15">
        <v>30000</v>
      </c>
      <c r="CS97" s="235">
        <f>CR97/CP97</f>
        <v>0.50723657513864462</v>
      </c>
      <c r="CV97" s="15">
        <f t="shared" si="278"/>
        <v>30000</v>
      </c>
      <c r="CY97" s="15">
        <f t="shared" si="279"/>
        <v>30000</v>
      </c>
      <c r="DB97" s="15">
        <f t="shared" si="280"/>
        <v>30000</v>
      </c>
      <c r="DE97" s="15">
        <f t="shared" si="281"/>
        <v>30000</v>
      </c>
      <c r="DH97" s="15">
        <f t="shared" si="282"/>
        <v>30000</v>
      </c>
      <c r="DK97" s="15">
        <f t="shared" si="283"/>
        <v>30000</v>
      </c>
      <c r="DN97" s="15">
        <f t="shared" si="284"/>
        <v>30000</v>
      </c>
      <c r="DQ97" s="15">
        <f t="shared" si="285"/>
        <v>30000</v>
      </c>
      <c r="DS97" s="15">
        <v>44426</v>
      </c>
      <c r="DU97" s="15">
        <v>40000</v>
      </c>
      <c r="DV97" s="235">
        <f t="shared" si="286"/>
        <v>0.90037365506685274</v>
      </c>
      <c r="DX97" s="15">
        <f t="shared" si="287"/>
        <v>40000</v>
      </c>
      <c r="EA97" s="15">
        <f t="shared" si="288"/>
        <v>40000</v>
      </c>
      <c r="ED97" s="15">
        <f t="shared" si="289"/>
        <v>40000</v>
      </c>
      <c r="EF97" s="227">
        <v>42066</v>
      </c>
      <c r="EG97" s="15">
        <f t="shared" si="290"/>
        <v>82066</v>
      </c>
      <c r="EI97" s="15">
        <v>592</v>
      </c>
      <c r="EK97" s="424">
        <v>100000</v>
      </c>
      <c r="EL97" s="235">
        <f t="shared" si="298"/>
        <v>168.91891891891891</v>
      </c>
      <c r="EN97" s="15">
        <f t="shared" si="300"/>
        <v>100000</v>
      </c>
      <c r="EQ97" s="15">
        <f t="shared" si="301"/>
        <v>100000</v>
      </c>
      <c r="ET97" s="15">
        <f t="shared" si="302"/>
        <v>100000</v>
      </c>
      <c r="EV97" s="227">
        <f>-(100000-85351)</f>
        <v>-14649</v>
      </c>
      <c r="EW97" s="15">
        <f t="shared" si="303"/>
        <v>85351</v>
      </c>
      <c r="EZ97" s="189">
        <f t="shared" si="304"/>
        <v>85351</v>
      </c>
      <c r="FB97" s="189">
        <v>85351</v>
      </c>
      <c r="FD97" s="424">
        <v>22500</v>
      </c>
      <c r="FE97" s="235">
        <f t="shared" si="305"/>
        <v>0.26361729798127731</v>
      </c>
    </row>
    <row r="98" spans="1:161" outlineLevel="1">
      <c r="A98" s="1" t="s">
        <v>76</v>
      </c>
      <c r="B98" s="4" t="s">
        <v>46</v>
      </c>
      <c r="C98" s="4" t="s">
        <v>83</v>
      </c>
      <c r="D98" s="8">
        <v>37700</v>
      </c>
      <c r="E98" s="28">
        <v>204.82</v>
      </c>
      <c r="F98" s="8">
        <v>54200</v>
      </c>
      <c r="G98" s="28">
        <v>142.47</v>
      </c>
      <c r="H98" s="9">
        <v>77219</v>
      </c>
      <c r="I98" s="14"/>
      <c r="J98" s="14"/>
      <c r="P98" s="15"/>
      <c r="Q98" s="15"/>
      <c r="R98" s="15"/>
      <c r="S98" s="15"/>
      <c r="X98" s="118"/>
      <c r="AF98" s="182"/>
      <c r="AJ98" s="182"/>
      <c r="AO98" s="17"/>
      <c r="AP98" s="17"/>
      <c r="AQ98" s="17"/>
      <c r="BD98" s="15"/>
      <c r="BG98" s="15"/>
      <c r="BJ98" s="15"/>
      <c r="BZ98" s="145"/>
    </row>
    <row r="99" spans="1:161" ht="15.75" thickBot="1">
      <c r="A99" s="24"/>
      <c r="B99" s="25" t="s">
        <v>270</v>
      </c>
      <c r="C99" s="25" t="s">
        <v>296</v>
      </c>
      <c r="D99" s="22">
        <f>D97+D66</f>
        <v>8000</v>
      </c>
      <c r="E99" s="30"/>
      <c r="F99" s="22">
        <f>F97+F66</f>
        <v>8000</v>
      </c>
      <c r="G99" s="30"/>
      <c r="H99" s="22"/>
      <c r="I99" s="22">
        <f>I97+I66</f>
        <v>2541</v>
      </c>
      <c r="J99" s="22"/>
      <c r="K99" s="20"/>
      <c r="L99" s="166">
        <f>L97+L66</f>
        <v>1000</v>
      </c>
      <c r="M99" s="23">
        <f>L99/F99-1</f>
        <v>-0.875</v>
      </c>
      <c r="N99" s="23">
        <f>L99/I99-1</f>
        <v>-0.60645415190869734</v>
      </c>
      <c r="P99" s="144">
        <f>L99</f>
        <v>1000</v>
      </c>
      <c r="Q99" s="144">
        <f>P99</f>
        <v>1000</v>
      </c>
      <c r="R99" s="144">
        <f>Q99</f>
        <v>1000</v>
      </c>
      <c r="S99" s="144">
        <f>R99</f>
        <v>1000</v>
      </c>
      <c r="U99" s="166">
        <f>U97+U66</f>
        <v>1600</v>
      </c>
      <c r="X99" s="166">
        <f>X97+X66</f>
        <v>1600</v>
      </c>
      <c r="Z99" s="166">
        <f>Z86+Z97+Z66</f>
        <v>28590</v>
      </c>
      <c r="AD99" s="166">
        <f>AD86+AD97+AD66</f>
        <v>28590</v>
      </c>
      <c r="AF99" s="182"/>
      <c r="AH99" s="166">
        <f>AH86+AH97+AH66</f>
        <v>28590</v>
      </c>
      <c r="AJ99" s="182"/>
      <c r="AL99" s="165">
        <f>AL86+AL97+AL66</f>
        <v>28557</v>
      </c>
      <c r="AN99" s="165">
        <f>AN86+AN97+AN66</f>
        <v>1000</v>
      </c>
      <c r="AO99" s="17">
        <f t="shared" si="263"/>
        <v>0</v>
      </c>
      <c r="AP99" s="17">
        <f t="shared" si="264"/>
        <v>-0.96502273522210569</v>
      </c>
      <c r="AQ99" s="17">
        <f t="shared" si="265"/>
        <v>-0.96498231606961515</v>
      </c>
      <c r="AZ99" s="165">
        <f>AZ86+AZ97+AZ66</f>
        <v>0</v>
      </c>
      <c r="BA99" s="165">
        <f>BA86+BA97+BA66</f>
        <v>1000</v>
      </c>
      <c r="BD99" s="165">
        <f>BD86+BD97+BD66</f>
        <v>1000</v>
      </c>
      <c r="BG99" s="165">
        <f>BG86+BG97+BG66</f>
        <v>1000</v>
      </c>
      <c r="BI99" s="165">
        <f>BI86+BI97+BI66</f>
        <v>149000</v>
      </c>
      <c r="BJ99" s="165">
        <f>BJ86+BJ97+BJ66</f>
        <v>150000</v>
      </c>
      <c r="BL99" s="165">
        <f>BL86+BL97+BL66</f>
        <v>152244.6</v>
      </c>
      <c r="BM99" s="240">
        <f>BL99/BJ99</f>
        <v>1.014964</v>
      </c>
      <c r="BO99" s="165">
        <f>BO86+BO97+BO66</f>
        <v>40000</v>
      </c>
      <c r="BP99" s="240">
        <f>BO99/BL99</f>
        <v>0.26273509865046113</v>
      </c>
      <c r="BR99" s="165">
        <f>BR86+BR97+BR66</f>
        <v>0</v>
      </c>
      <c r="BS99" s="165">
        <f>BS86+BS97+BS66</f>
        <v>40000</v>
      </c>
      <c r="BU99" s="165">
        <f>BU86+BU97+BU66</f>
        <v>0</v>
      </c>
      <c r="BV99" s="165">
        <f>BV86+BV97+BV66</f>
        <v>40000</v>
      </c>
      <c r="BX99" s="165">
        <f>BX86+BX97+BX66</f>
        <v>0</v>
      </c>
      <c r="BY99" s="165">
        <f>BY86+BY97+BY66</f>
        <v>40000</v>
      </c>
      <c r="BZ99" s="145"/>
      <c r="CA99" s="319">
        <f>CA86+CA97+CA66</f>
        <v>0</v>
      </c>
      <c r="CB99" s="165">
        <f>CB86+CB97+CB66</f>
        <v>40000</v>
      </c>
      <c r="CD99" s="165">
        <f>CD86+CD97+CD66</f>
        <v>0</v>
      </c>
      <c r="CE99" s="165">
        <f>CE86+CE97+CE66</f>
        <v>40000</v>
      </c>
      <c r="CG99" s="165">
        <f>CG86+CG97+CG66</f>
        <v>0</v>
      </c>
      <c r="CH99" s="165">
        <f>CH86+CH97+CH66</f>
        <v>40000</v>
      </c>
      <c r="CJ99" s="165">
        <f>CJ86+CJ97+CJ66</f>
        <v>30000</v>
      </c>
      <c r="CK99" s="165">
        <f>CK86+CK97+CK66</f>
        <v>70000</v>
      </c>
      <c r="CM99" s="165">
        <f>CM86+CM97+CM66</f>
        <v>0</v>
      </c>
      <c r="CN99" s="165">
        <f>CN86+CN97+CN66</f>
        <v>70000</v>
      </c>
      <c r="CP99" s="165">
        <f>CP86+CP97+CP66</f>
        <v>59144</v>
      </c>
      <c r="CR99" s="165">
        <f>CR86+CR97+CR66</f>
        <v>30000</v>
      </c>
      <c r="CS99" s="240">
        <f>CR99/CP99</f>
        <v>0.50723657513864462</v>
      </c>
      <c r="CU99" s="165">
        <f>CU86+CU97+CU78+CU66</f>
        <v>150000</v>
      </c>
      <c r="CV99" s="165">
        <f>CV86+CV97+CV78+CV66</f>
        <v>180000</v>
      </c>
      <c r="CX99" s="165">
        <f>CX86+CX97+CX78+CX66</f>
        <v>0</v>
      </c>
      <c r="CY99" s="165">
        <f>CY86+CY97+CY78+CY66</f>
        <v>180000</v>
      </c>
      <c r="DA99" s="165">
        <f>DA86+DA97+DA78+DA66</f>
        <v>0</v>
      </c>
      <c r="DB99" s="165">
        <f>DB86+DB97+DB78+DB66</f>
        <v>180000</v>
      </c>
      <c r="DD99" s="165">
        <f>DD86+DD97+DD78+DD66</f>
        <v>11500</v>
      </c>
      <c r="DE99" s="165">
        <f>DE86+DE97+DE78+DE66</f>
        <v>191500</v>
      </c>
      <c r="DG99" s="165">
        <f>DG86+DG97+DG78+DG66</f>
        <v>0</v>
      </c>
      <c r="DH99" s="165">
        <f>DH86+DH97+DH78+DH66</f>
        <v>191500</v>
      </c>
      <c r="DJ99" s="165">
        <f>DJ86+DJ97+DJ78+DJ66</f>
        <v>0</v>
      </c>
      <c r="DK99" s="165">
        <f>DK86+DK97+DK78+DK66</f>
        <v>191500</v>
      </c>
      <c r="DM99" s="165">
        <f>DM86+DM97+DM78+DM66</f>
        <v>0</v>
      </c>
      <c r="DN99" s="165">
        <f>DN86+DN97+DN78+DN66</f>
        <v>191500</v>
      </c>
      <c r="DP99" s="165">
        <f>DP86+DP97+DP78+DP66</f>
        <v>0</v>
      </c>
      <c r="DQ99" s="165">
        <f>DQ86+DQ97+DQ78+DQ66</f>
        <v>191500</v>
      </c>
      <c r="DS99" s="165">
        <f>DS86+DS97+DS78+DS66</f>
        <v>205926</v>
      </c>
      <c r="DU99" s="165">
        <f>DU86+DU97+DU78+DU66</f>
        <v>40000</v>
      </c>
      <c r="DW99" s="165">
        <f>DW86+DW97+DW78+DW66</f>
        <v>0</v>
      </c>
      <c r="DX99" s="165">
        <f>DX86+DX97+DX78+DX66</f>
        <v>40000</v>
      </c>
      <c r="DZ99" s="165">
        <f>DZ86+DZ97+DZ78+DZ66</f>
        <v>0</v>
      </c>
      <c r="EA99" s="165">
        <f>EA86+EA97+EA78+EA66</f>
        <v>40000</v>
      </c>
      <c r="EC99" s="165">
        <f>EC86+EC97+EC78+EC66</f>
        <v>0</v>
      </c>
      <c r="ED99" s="165">
        <f>ED86+ED97+ED78+ED66</f>
        <v>40000</v>
      </c>
      <c r="EF99" s="165">
        <f>EF86+EF97+EF78+EF66</f>
        <v>42066</v>
      </c>
      <c r="EG99" s="165">
        <f>EG86+EG97+EG78+EG66</f>
        <v>82066</v>
      </c>
      <c r="EI99" s="165">
        <f>EI86+EI97+EI78+EI66</f>
        <v>592</v>
      </c>
      <c r="EK99" s="165">
        <f>EK86+EK97+EK78+EK66</f>
        <v>100000</v>
      </c>
      <c r="EM99" s="165">
        <f>EM86+EM97+EM78+EM66</f>
        <v>0</v>
      </c>
      <c r="EN99" s="165">
        <f>EN86+EN97+EN78+EN66</f>
        <v>100000</v>
      </c>
      <c r="EP99" s="165">
        <f>EP86+EP97+EP78+EP66</f>
        <v>0</v>
      </c>
      <c r="EQ99" s="165">
        <f>EQ86+EQ97+EQ78+EQ66</f>
        <v>100000</v>
      </c>
      <c r="ES99" s="165">
        <f>ES86+ES97+ES78+ES66</f>
        <v>0</v>
      </c>
      <c r="ET99" s="165">
        <f>ET86+ET97+ET78+ET66</f>
        <v>100000</v>
      </c>
      <c r="EV99" s="165">
        <f>EV86+EV97+EV78+EV66</f>
        <v>-14649</v>
      </c>
      <c r="EW99" s="165">
        <f>EW86+EW97+EW78+EW66</f>
        <v>85351</v>
      </c>
      <c r="EY99" s="165">
        <f>EY86+EY97+EY78+EY66</f>
        <v>0</v>
      </c>
      <c r="EZ99" s="166">
        <f>EZ86+EZ97+EZ78+EZ66</f>
        <v>85351</v>
      </c>
      <c r="FB99" s="166">
        <f>FB86+FB97+FB78+FB66</f>
        <v>85351</v>
      </c>
      <c r="FD99" s="165">
        <f>FD86+FD97+FD78+FD66</f>
        <v>22500</v>
      </c>
      <c r="FE99" s="235">
        <f t="shared" si="305"/>
        <v>0.26361729798127731</v>
      </c>
    </row>
    <row r="100" spans="1:161" ht="15.75" outlineLevel="1" thickTop="1">
      <c r="A100" s="10" t="s">
        <v>0</v>
      </c>
      <c r="P100" s="147">
        <f>P22-L22</f>
        <v>-334050</v>
      </c>
      <c r="Q100" s="147">
        <f>Q22-L22</f>
        <v>-501075</v>
      </c>
      <c r="R100" s="147">
        <f>R22-L22</f>
        <v>-668100</v>
      </c>
      <c r="S100" s="147">
        <f>S22-L22</f>
        <v>-935340</v>
      </c>
      <c r="U100" s="147">
        <f>U22-L22</f>
        <v>-887800</v>
      </c>
      <c r="W100" s="15">
        <f>(U22+U35+U99)-(L22+L35+L99+662200)</f>
        <v>-801700</v>
      </c>
      <c r="AF100" s="182"/>
      <c r="AJ100" s="182"/>
      <c r="BZ100" s="145"/>
    </row>
    <row r="101" spans="1:161" outlineLevel="1">
      <c r="A101" s="1" t="s">
        <v>0</v>
      </c>
      <c r="B101" s="1" t="s">
        <v>0</v>
      </c>
      <c r="C101" s="1" t="s">
        <v>0</v>
      </c>
      <c r="D101" s="1" t="s">
        <v>1</v>
      </c>
      <c r="E101" s="26" t="s">
        <v>0</v>
      </c>
      <c r="F101" s="1" t="s">
        <v>2</v>
      </c>
      <c r="G101" s="26" t="s">
        <v>0</v>
      </c>
      <c r="H101" s="2" t="s">
        <v>3</v>
      </c>
      <c r="I101" s="13"/>
      <c r="J101" s="13"/>
      <c r="O101" s="150">
        <v>0.01</v>
      </c>
      <c r="P101" s="147">
        <f>P100/10</f>
        <v>-33405</v>
      </c>
      <c r="Q101" s="15"/>
      <c r="AF101" s="182"/>
      <c r="AJ101" s="182"/>
      <c r="BZ101" s="145"/>
    </row>
    <row r="102" spans="1:161" outlineLevel="1">
      <c r="A102" s="1" t="s">
        <v>4</v>
      </c>
      <c r="B102" s="1" t="s">
        <v>5</v>
      </c>
      <c r="C102" s="4" t="s">
        <v>6</v>
      </c>
      <c r="D102" s="1" t="s">
        <v>7</v>
      </c>
      <c r="E102" s="26" t="s">
        <v>8</v>
      </c>
      <c r="F102" s="1" t="s">
        <v>9</v>
      </c>
      <c r="G102" s="26" t="s">
        <v>8</v>
      </c>
      <c r="H102" s="2" t="s">
        <v>10</v>
      </c>
      <c r="I102" s="13"/>
      <c r="J102" s="13"/>
      <c r="P102" s="15"/>
      <c r="Q102" s="15"/>
      <c r="AF102" s="182"/>
      <c r="AJ102" s="182"/>
      <c r="BZ102" s="145"/>
    </row>
    <row r="103" spans="1:161" outlineLevel="1">
      <c r="A103" s="3" t="s">
        <v>84</v>
      </c>
      <c r="B103" s="5" t="s">
        <v>48</v>
      </c>
      <c r="C103" s="5" t="s">
        <v>85</v>
      </c>
      <c r="D103" s="6">
        <v>37700</v>
      </c>
      <c r="E103" s="27">
        <v>204.82</v>
      </c>
      <c r="F103" s="6">
        <v>54200</v>
      </c>
      <c r="G103" s="27">
        <v>142.47</v>
      </c>
      <c r="H103" s="7">
        <v>77219</v>
      </c>
      <c r="I103" s="14"/>
      <c r="J103" s="14"/>
      <c r="P103" s="15"/>
      <c r="Q103" s="15"/>
      <c r="X103" s="15"/>
      <c r="AF103" s="182"/>
      <c r="AJ103" s="182"/>
      <c r="BZ103" s="145"/>
    </row>
    <row r="104" spans="1:161" outlineLevel="1">
      <c r="A104" s="10" t="s">
        <v>0</v>
      </c>
      <c r="P104" s="15"/>
      <c r="Q104" s="15"/>
      <c r="X104" s="15"/>
      <c r="AF104" s="182"/>
      <c r="AJ104" s="182"/>
      <c r="BZ104" s="145"/>
    </row>
    <row r="105" spans="1:161" outlineLevel="1">
      <c r="A105" s="1" t="s">
        <v>86</v>
      </c>
      <c r="B105" s="1" t="s">
        <v>87</v>
      </c>
      <c r="C105" s="4" t="s">
        <v>88</v>
      </c>
      <c r="D105" s="8">
        <v>200</v>
      </c>
      <c r="E105" s="28">
        <v>59.92</v>
      </c>
      <c r="F105" s="8">
        <v>200</v>
      </c>
      <c r="G105" s="28">
        <v>59.92</v>
      </c>
      <c r="H105" s="9">
        <v>119.84</v>
      </c>
      <c r="I105" s="14">
        <f>H105*$I$2</f>
        <v>143.80799999999999</v>
      </c>
      <c r="J105" s="14"/>
      <c r="L105" s="118">
        <v>200</v>
      </c>
      <c r="M105" s="17">
        <f>L105/F105-1</f>
        <v>0</v>
      </c>
      <c r="N105" s="17">
        <f>L105/I105-1</f>
        <v>0.39074321317311989</v>
      </c>
      <c r="P105" s="15"/>
      <c r="Q105" s="15"/>
      <c r="U105" s="118">
        <v>200</v>
      </c>
      <c r="X105" s="15">
        <v>200</v>
      </c>
      <c r="Z105" s="118">
        <v>100</v>
      </c>
      <c r="AB105" s="187">
        <f t="shared" ref="AB105" si="306">Z105-X105</f>
        <v>-100</v>
      </c>
      <c r="AC105" s="187"/>
      <c r="AD105" s="118">
        <v>100</v>
      </c>
      <c r="AE105" s="187"/>
      <c r="AF105" s="182"/>
      <c r="AG105" s="187"/>
      <c r="AH105" s="118">
        <v>100</v>
      </c>
      <c r="AI105" s="187"/>
      <c r="AJ105" s="182"/>
      <c r="AL105" s="15">
        <v>90</v>
      </c>
      <c r="AN105" s="15">
        <v>100</v>
      </c>
      <c r="AO105" s="17">
        <f t="shared" ref="AO105" si="307">AN105/L105-1</f>
        <v>-0.5</v>
      </c>
      <c r="AP105" s="17">
        <f t="shared" ref="AP105" si="308">AN105/AH105-1</f>
        <v>0</v>
      </c>
      <c r="AQ105" s="17">
        <f t="shared" ref="AQ105" si="309">AN105/AL105-1</f>
        <v>0.11111111111111116</v>
      </c>
      <c r="BA105" s="15">
        <f t="shared" ref="BA105" si="310">AN105+AZ105</f>
        <v>100</v>
      </c>
      <c r="BD105" s="15">
        <f>BA105</f>
        <v>100</v>
      </c>
      <c r="BG105" s="15">
        <f>BD105</f>
        <v>100</v>
      </c>
      <c r="BI105" s="15">
        <v>-100</v>
      </c>
      <c r="BJ105" s="15">
        <f t="shared" ref="BJ105:BJ106" si="311">BG105+BI105</f>
        <v>0</v>
      </c>
      <c r="BL105" s="15">
        <v>0</v>
      </c>
      <c r="BM105" s="235" t="e">
        <f t="shared" ref="BM105" si="312">BL105/BJ105</f>
        <v>#DIV/0!</v>
      </c>
      <c r="BO105" s="15">
        <v>0</v>
      </c>
      <c r="BS105" s="15">
        <f t="shared" ref="BS105:BS106" si="313">BO105+BR105</f>
        <v>0</v>
      </c>
      <c r="BV105" s="15">
        <f t="shared" ref="BV105:BV106" si="314">BS105+BU105</f>
        <v>0</v>
      </c>
      <c r="BY105" s="15">
        <f t="shared" ref="BY105:BY106" si="315">BV105+BX105</f>
        <v>0</v>
      </c>
      <c r="BZ105" s="145">
        <v>8.11</v>
      </c>
      <c r="CB105" s="15">
        <f t="shared" ref="CB105:CB106" si="316">BY105+CA105</f>
        <v>0</v>
      </c>
      <c r="CE105" s="15">
        <f t="shared" ref="CE105:CE106" si="317">CB105+CD105</f>
        <v>0</v>
      </c>
      <c r="CH105" s="15">
        <f t="shared" ref="CH105:CH106" si="318">CE105+CG105</f>
        <v>0</v>
      </c>
      <c r="CK105" s="15">
        <f t="shared" ref="CK105:CK106" si="319">CH105+CJ105</f>
        <v>0</v>
      </c>
      <c r="CN105" s="15">
        <f t="shared" ref="CN105:CN106" si="320">CK105+CM105</f>
        <v>0</v>
      </c>
      <c r="CP105" s="15">
        <v>8.49</v>
      </c>
      <c r="CR105" s="15">
        <v>0</v>
      </c>
      <c r="CV105" s="15">
        <f t="shared" ref="CV105:CV116" si="321">CR105+CU105</f>
        <v>0</v>
      </c>
      <c r="CY105" s="15">
        <f t="shared" ref="CY105:CY116" si="322">CV105+CX105</f>
        <v>0</v>
      </c>
      <c r="DB105" s="15">
        <f t="shared" ref="DB105:DB116" si="323">CY105+DA105</f>
        <v>0</v>
      </c>
      <c r="DE105" s="15">
        <f t="shared" ref="DE105:DE116" si="324">DB105+DD105</f>
        <v>0</v>
      </c>
      <c r="DG105" s="227">
        <v>27000</v>
      </c>
      <c r="DH105" s="15">
        <f t="shared" ref="DH105:DH116" si="325">DE105+DG105</f>
        <v>27000</v>
      </c>
      <c r="DK105" s="15">
        <f t="shared" ref="DK105:DK116" si="326">DH105+DJ105</f>
        <v>27000</v>
      </c>
      <c r="DN105" s="15">
        <f t="shared" ref="DN105:DN116" si="327">DK105+DM105</f>
        <v>27000</v>
      </c>
      <c r="DQ105" s="15">
        <f t="shared" ref="DQ105:DQ116" si="328">DN105+DP105</f>
        <v>27000</v>
      </c>
      <c r="DS105" s="15">
        <v>27001.7</v>
      </c>
      <c r="DU105" s="15">
        <v>13500</v>
      </c>
      <c r="DX105" s="15">
        <f t="shared" ref="DX105:DX116" si="329">DU105+DW105</f>
        <v>13500</v>
      </c>
      <c r="EA105" s="15">
        <f t="shared" ref="EA105:EA116" si="330">DX105+DZ105</f>
        <v>13500</v>
      </c>
      <c r="ED105" s="15">
        <f t="shared" ref="ED105:ED116" si="331">EA105+EC105</f>
        <v>13500</v>
      </c>
      <c r="EG105" s="15">
        <f t="shared" ref="EG105:EG116" si="332">ED105+EF105</f>
        <v>13500</v>
      </c>
      <c r="EI105" s="15">
        <v>12379.18</v>
      </c>
      <c r="EK105" s="15">
        <v>0</v>
      </c>
      <c r="EL105" s="235">
        <f t="shared" ref="EL105:EL106" si="333">EK105/EI105</f>
        <v>0</v>
      </c>
      <c r="EN105" s="15">
        <f t="shared" ref="EN105:EN116" si="334">EK105+EM105</f>
        <v>0</v>
      </c>
      <c r="EQ105" s="15">
        <f t="shared" ref="EQ105:EQ116" si="335">EN105+EP105</f>
        <v>0</v>
      </c>
      <c r="ET105" s="15">
        <f t="shared" ref="ET105:ET116" si="336">EQ105+ES105</f>
        <v>0</v>
      </c>
      <c r="EV105" s="227">
        <v>15</v>
      </c>
      <c r="EW105" s="15">
        <f t="shared" ref="EW105:EW116" si="337">ET105+EV105</f>
        <v>15</v>
      </c>
      <c r="EZ105" s="15">
        <f t="shared" ref="EZ105:EZ116" si="338">EW105+EY105</f>
        <v>15</v>
      </c>
      <c r="FB105" s="189">
        <v>11.39</v>
      </c>
      <c r="FD105" s="15">
        <v>0</v>
      </c>
      <c r="FE105" s="235">
        <f t="shared" ref="FE105:FE106" si="339">FD105/FB105</f>
        <v>0</v>
      </c>
    </row>
    <row r="106" spans="1:161" outlineLevel="1">
      <c r="A106" s="1" t="s">
        <v>86</v>
      </c>
      <c r="B106" s="1" t="s">
        <v>490</v>
      </c>
      <c r="C106" s="4" t="s">
        <v>491</v>
      </c>
      <c r="D106" s="8"/>
      <c r="E106" s="28"/>
      <c r="F106" s="8"/>
      <c r="G106" s="28"/>
      <c r="H106" s="9"/>
      <c r="I106" s="14"/>
      <c r="J106" s="14"/>
      <c r="M106" s="17"/>
      <c r="N106" s="17"/>
      <c r="P106" s="15"/>
      <c r="Q106" s="15"/>
      <c r="X106" s="15"/>
      <c r="AB106" s="187"/>
      <c r="AC106" s="187"/>
      <c r="AE106" s="187"/>
      <c r="AF106" s="182"/>
      <c r="AG106" s="187"/>
      <c r="AI106" s="187"/>
      <c r="AJ106" s="182"/>
      <c r="AO106" s="17"/>
      <c r="AP106" s="17"/>
      <c r="AQ106" s="17"/>
      <c r="BA106" s="15"/>
      <c r="BD106" s="15"/>
      <c r="BG106" s="15"/>
      <c r="BI106" s="15">
        <v>9100</v>
      </c>
      <c r="BJ106" s="15">
        <f t="shared" si="311"/>
        <v>9100</v>
      </c>
      <c r="BL106" s="15">
        <v>9078.5</v>
      </c>
      <c r="BM106" s="235">
        <f t="shared" ref="BM106" si="340">BL106/BJ106</f>
        <v>0.99763736263736269</v>
      </c>
      <c r="BS106" s="15">
        <f t="shared" si="313"/>
        <v>0</v>
      </c>
      <c r="BV106" s="15">
        <f t="shared" si="314"/>
        <v>0</v>
      </c>
      <c r="BY106" s="15">
        <f t="shared" si="315"/>
        <v>0</v>
      </c>
      <c r="BZ106" s="145"/>
      <c r="CB106" s="15">
        <f t="shared" si="316"/>
        <v>0</v>
      </c>
      <c r="CE106" s="15">
        <f t="shared" si="317"/>
        <v>0</v>
      </c>
      <c r="CH106" s="15">
        <f t="shared" si="318"/>
        <v>0</v>
      </c>
      <c r="CK106" s="15">
        <f t="shared" si="319"/>
        <v>0</v>
      </c>
      <c r="CN106" s="15">
        <f t="shared" si="320"/>
        <v>0</v>
      </c>
      <c r="CV106" s="15">
        <f t="shared" si="321"/>
        <v>0</v>
      </c>
      <c r="CY106" s="15">
        <f t="shared" si="322"/>
        <v>0</v>
      </c>
      <c r="DB106" s="15">
        <f t="shared" si="323"/>
        <v>0</v>
      </c>
      <c r="DE106" s="15">
        <f t="shared" si="324"/>
        <v>0</v>
      </c>
      <c r="DH106" s="15">
        <f t="shared" si="325"/>
        <v>0</v>
      </c>
      <c r="DK106" s="15">
        <f t="shared" si="326"/>
        <v>0</v>
      </c>
      <c r="DN106" s="15">
        <f t="shared" si="327"/>
        <v>0</v>
      </c>
      <c r="DQ106" s="15">
        <f t="shared" si="328"/>
        <v>0</v>
      </c>
      <c r="DX106" s="15">
        <f t="shared" si="329"/>
        <v>0</v>
      </c>
      <c r="EA106" s="15">
        <f t="shared" si="330"/>
        <v>0</v>
      </c>
      <c r="ED106" s="15">
        <f t="shared" si="331"/>
        <v>0</v>
      </c>
      <c r="EG106" s="15">
        <f t="shared" si="332"/>
        <v>0</v>
      </c>
      <c r="EI106" s="15">
        <v>2882</v>
      </c>
      <c r="EK106" s="15">
        <v>0</v>
      </c>
      <c r="EL106" s="235">
        <f t="shared" si="333"/>
        <v>0</v>
      </c>
      <c r="EN106" s="15">
        <f t="shared" si="334"/>
        <v>0</v>
      </c>
      <c r="EQ106" s="15">
        <f t="shared" si="335"/>
        <v>0</v>
      </c>
      <c r="ET106" s="15">
        <f t="shared" si="336"/>
        <v>0</v>
      </c>
      <c r="EV106" s="227">
        <v>2882</v>
      </c>
      <c r="EW106" s="15">
        <f t="shared" si="337"/>
        <v>2882</v>
      </c>
      <c r="EZ106" s="15">
        <f t="shared" si="338"/>
        <v>2882</v>
      </c>
      <c r="FB106" s="189">
        <v>2882</v>
      </c>
      <c r="FD106" s="15">
        <v>0</v>
      </c>
      <c r="FE106" s="235">
        <f t="shared" si="339"/>
        <v>0</v>
      </c>
    </row>
    <row r="107" spans="1:161" outlineLevel="1">
      <c r="A107" s="1" t="s">
        <v>86</v>
      </c>
      <c r="B107" s="4" t="s">
        <v>46</v>
      </c>
      <c r="C107" s="4" t="s">
        <v>89</v>
      </c>
      <c r="D107" s="8">
        <v>200</v>
      </c>
      <c r="E107" s="28">
        <v>59.92</v>
      </c>
      <c r="F107" s="8">
        <v>200</v>
      </c>
      <c r="G107" s="28">
        <v>59.92</v>
      </c>
      <c r="H107" s="9">
        <v>119.84</v>
      </c>
      <c r="I107" s="14"/>
      <c r="J107" s="14"/>
      <c r="P107" s="15"/>
      <c r="Q107" s="15"/>
      <c r="X107" s="15"/>
      <c r="AF107" s="182"/>
      <c r="AJ107" s="182"/>
      <c r="BZ107" s="145"/>
      <c r="CV107" s="15">
        <f t="shared" si="321"/>
        <v>0</v>
      </c>
      <c r="CY107" s="15">
        <f t="shared" si="322"/>
        <v>0</v>
      </c>
      <c r="DB107" s="15">
        <f t="shared" si="323"/>
        <v>0</v>
      </c>
      <c r="DE107" s="15">
        <f t="shared" si="324"/>
        <v>0</v>
      </c>
      <c r="DH107" s="15">
        <f t="shared" si="325"/>
        <v>0</v>
      </c>
      <c r="DK107" s="15">
        <f t="shared" si="326"/>
        <v>0</v>
      </c>
      <c r="DN107" s="15">
        <f t="shared" si="327"/>
        <v>0</v>
      </c>
      <c r="DQ107" s="15">
        <f t="shared" si="328"/>
        <v>0</v>
      </c>
      <c r="DX107" s="15">
        <f t="shared" si="329"/>
        <v>0</v>
      </c>
      <c r="EA107" s="15">
        <f t="shared" si="330"/>
        <v>0</v>
      </c>
      <c r="ED107" s="15">
        <f t="shared" si="331"/>
        <v>0</v>
      </c>
      <c r="EG107" s="15">
        <f t="shared" si="332"/>
        <v>0</v>
      </c>
      <c r="EN107" s="15">
        <f t="shared" si="334"/>
        <v>0</v>
      </c>
      <c r="EQ107" s="15">
        <f t="shared" si="335"/>
        <v>0</v>
      </c>
      <c r="ET107" s="15">
        <f t="shared" si="336"/>
        <v>0</v>
      </c>
      <c r="EW107" s="15">
        <f t="shared" si="337"/>
        <v>0</v>
      </c>
      <c r="EZ107" s="15">
        <f t="shared" si="338"/>
        <v>0</v>
      </c>
    </row>
    <row r="108" spans="1:161" outlineLevel="1">
      <c r="A108" s="1" t="s">
        <v>90</v>
      </c>
      <c r="B108" s="4" t="s">
        <v>48</v>
      </c>
      <c r="C108" s="4" t="s">
        <v>89</v>
      </c>
      <c r="D108" s="8">
        <v>200</v>
      </c>
      <c r="E108" s="28">
        <v>59.92</v>
      </c>
      <c r="F108" s="8">
        <v>200</v>
      </c>
      <c r="G108" s="28">
        <v>59.92</v>
      </c>
      <c r="H108" s="9">
        <v>119.84</v>
      </c>
      <c r="I108" s="14"/>
      <c r="J108" s="14"/>
      <c r="P108" s="15"/>
      <c r="Q108" s="15"/>
      <c r="X108" s="15"/>
      <c r="AF108" s="182"/>
      <c r="AJ108" s="182"/>
      <c r="BZ108" s="145"/>
      <c r="CV108" s="15">
        <f t="shared" si="321"/>
        <v>0</v>
      </c>
      <c r="CY108" s="15">
        <f t="shared" si="322"/>
        <v>0</v>
      </c>
      <c r="DB108" s="15">
        <f t="shared" si="323"/>
        <v>0</v>
      </c>
      <c r="DE108" s="15">
        <f t="shared" si="324"/>
        <v>0</v>
      </c>
      <c r="DH108" s="15">
        <f t="shared" si="325"/>
        <v>0</v>
      </c>
      <c r="DK108" s="15">
        <f t="shared" si="326"/>
        <v>0</v>
      </c>
      <c r="DN108" s="15">
        <f t="shared" si="327"/>
        <v>0</v>
      </c>
      <c r="DQ108" s="15">
        <f t="shared" si="328"/>
        <v>0</v>
      </c>
      <c r="DX108" s="15">
        <f t="shared" si="329"/>
        <v>0</v>
      </c>
      <c r="EA108" s="15">
        <f t="shared" si="330"/>
        <v>0</v>
      </c>
      <c r="ED108" s="15">
        <f t="shared" si="331"/>
        <v>0</v>
      </c>
      <c r="EG108" s="15">
        <f t="shared" si="332"/>
        <v>0</v>
      </c>
      <c r="EN108" s="15">
        <f t="shared" si="334"/>
        <v>0</v>
      </c>
      <c r="EQ108" s="15">
        <f t="shared" si="335"/>
        <v>0</v>
      </c>
      <c r="ET108" s="15">
        <f t="shared" si="336"/>
        <v>0</v>
      </c>
      <c r="EW108" s="15">
        <f t="shared" si="337"/>
        <v>0</v>
      </c>
      <c r="EZ108" s="15">
        <f t="shared" si="338"/>
        <v>0</v>
      </c>
    </row>
    <row r="109" spans="1:161" outlineLevel="1">
      <c r="A109" s="10" t="s">
        <v>0</v>
      </c>
      <c r="P109" s="15"/>
      <c r="Q109" s="15"/>
      <c r="X109" s="15"/>
      <c r="AF109" s="182"/>
      <c r="AJ109" s="182"/>
      <c r="BZ109" s="145"/>
      <c r="CV109" s="15">
        <f t="shared" si="321"/>
        <v>0</v>
      </c>
      <c r="CY109" s="15">
        <f t="shared" si="322"/>
        <v>0</v>
      </c>
      <c r="DB109" s="15">
        <f t="shared" si="323"/>
        <v>0</v>
      </c>
      <c r="DE109" s="15">
        <f t="shared" si="324"/>
        <v>0</v>
      </c>
      <c r="DH109" s="15">
        <f t="shared" si="325"/>
        <v>0</v>
      </c>
      <c r="DK109" s="15">
        <f t="shared" si="326"/>
        <v>0</v>
      </c>
      <c r="DN109" s="15">
        <f t="shared" si="327"/>
        <v>0</v>
      </c>
      <c r="DQ109" s="15">
        <f t="shared" si="328"/>
        <v>0</v>
      </c>
      <c r="DX109" s="15">
        <f t="shared" si="329"/>
        <v>0</v>
      </c>
      <c r="EA109" s="15">
        <f t="shared" si="330"/>
        <v>0</v>
      </c>
      <c r="ED109" s="15">
        <f t="shared" si="331"/>
        <v>0</v>
      </c>
      <c r="EG109" s="15">
        <f t="shared" si="332"/>
        <v>0</v>
      </c>
      <c r="EN109" s="15">
        <f t="shared" si="334"/>
        <v>0</v>
      </c>
      <c r="EQ109" s="15">
        <f t="shared" si="335"/>
        <v>0</v>
      </c>
      <c r="ET109" s="15">
        <f t="shared" si="336"/>
        <v>0</v>
      </c>
      <c r="EW109" s="15">
        <f t="shared" si="337"/>
        <v>0</v>
      </c>
      <c r="EZ109" s="15">
        <f t="shared" si="338"/>
        <v>0</v>
      </c>
    </row>
    <row r="110" spans="1:161" outlineLevel="1">
      <c r="A110" s="1" t="s">
        <v>91</v>
      </c>
      <c r="B110" s="1" t="s">
        <v>731</v>
      </c>
      <c r="C110" t="s">
        <v>732</v>
      </c>
      <c r="P110" s="15"/>
      <c r="Q110" s="15"/>
      <c r="X110" s="15"/>
      <c r="AF110" s="182"/>
      <c r="AJ110" s="182"/>
      <c r="BZ110" s="145"/>
      <c r="CV110" s="15"/>
      <c r="CY110" s="15"/>
      <c r="DB110" s="15"/>
      <c r="DE110" s="15"/>
      <c r="DH110" s="15"/>
      <c r="DK110" s="15"/>
      <c r="DN110" s="15"/>
      <c r="DQ110" s="15"/>
      <c r="DX110" s="15"/>
      <c r="EA110" s="15"/>
      <c r="ED110" s="15"/>
      <c r="EG110" s="15"/>
      <c r="EN110" s="15"/>
      <c r="EQ110" s="15"/>
      <c r="ET110" s="15"/>
      <c r="EW110" s="15"/>
      <c r="EZ110" s="15"/>
      <c r="FB110" s="189">
        <v>35000</v>
      </c>
    </row>
    <row r="111" spans="1:161" ht="14.25" customHeight="1" outlineLevel="1">
      <c r="A111" s="1" t="s">
        <v>91</v>
      </c>
      <c r="B111" s="1" t="s">
        <v>92</v>
      </c>
      <c r="C111" s="4" t="s">
        <v>93</v>
      </c>
      <c r="D111" s="8">
        <v>50000</v>
      </c>
      <c r="E111" s="28">
        <v>1977</v>
      </c>
      <c r="F111" s="8">
        <v>50000</v>
      </c>
      <c r="G111" s="28">
        <v>1977</v>
      </c>
      <c r="H111" s="9">
        <v>988500</v>
      </c>
      <c r="I111" s="14">
        <f>H111</f>
        <v>988500</v>
      </c>
      <c r="J111" s="14"/>
      <c r="L111" s="118">
        <v>0</v>
      </c>
      <c r="M111" s="17">
        <f>L111/F111-1</f>
        <v>-1</v>
      </c>
      <c r="N111" s="17">
        <f>L111/I111-1</f>
        <v>-1</v>
      </c>
      <c r="P111" s="15"/>
      <c r="Q111" s="15"/>
      <c r="X111" s="15"/>
      <c r="AF111" s="182"/>
      <c r="AJ111" s="182"/>
      <c r="AL111" s="187">
        <v>1209500</v>
      </c>
      <c r="BL111" s="15">
        <v>330800</v>
      </c>
      <c r="BM111" s="235" t="e">
        <f t="shared" ref="BM111:BM112" si="341">BL111/BJ111</f>
        <v>#DIV/0!</v>
      </c>
      <c r="BS111" s="15">
        <f t="shared" ref="BS111:BS112" si="342">BO111+BR111</f>
        <v>0</v>
      </c>
      <c r="BV111" s="15">
        <f t="shared" ref="BV111:BV112" si="343">BS111+BU111</f>
        <v>0</v>
      </c>
      <c r="BY111" s="15">
        <f t="shared" ref="BY111:BY112" si="344">BV111+BX111</f>
        <v>0</v>
      </c>
      <c r="BZ111" s="145"/>
      <c r="CB111" s="15">
        <f t="shared" ref="CB111:CB112" si="345">BY111+CA111</f>
        <v>0</v>
      </c>
      <c r="CE111" s="15">
        <f t="shared" ref="CE111:CE112" si="346">CB111+CD111</f>
        <v>0</v>
      </c>
      <c r="CH111" s="15">
        <f t="shared" ref="CH111:CH112" si="347">CE111+CG111</f>
        <v>0</v>
      </c>
      <c r="CK111" s="15">
        <f t="shared" ref="CK111:CK112" si="348">CH111+CJ111</f>
        <v>0</v>
      </c>
      <c r="CN111" s="15">
        <f t="shared" ref="CN111:CN112" si="349">CK111+CM111</f>
        <v>0</v>
      </c>
      <c r="CP111" s="15">
        <v>1772500</v>
      </c>
      <c r="CV111" s="15">
        <f t="shared" si="321"/>
        <v>0</v>
      </c>
      <c r="CY111" s="15">
        <f t="shared" si="322"/>
        <v>0</v>
      </c>
      <c r="DB111" s="15">
        <f t="shared" si="323"/>
        <v>0</v>
      </c>
      <c r="DE111" s="15">
        <f t="shared" si="324"/>
        <v>0</v>
      </c>
      <c r="DH111" s="15">
        <f t="shared" si="325"/>
        <v>0</v>
      </c>
      <c r="DK111" s="15">
        <f t="shared" si="326"/>
        <v>0</v>
      </c>
      <c r="DN111" s="15">
        <f t="shared" si="327"/>
        <v>0</v>
      </c>
      <c r="DQ111" s="15">
        <f t="shared" si="328"/>
        <v>0</v>
      </c>
      <c r="DS111" s="15">
        <v>1807200</v>
      </c>
      <c r="DX111" s="15">
        <f t="shared" si="329"/>
        <v>0</v>
      </c>
      <c r="EA111" s="15">
        <f t="shared" si="330"/>
        <v>0</v>
      </c>
      <c r="ED111" s="15">
        <f t="shared" si="331"/>
        <v>0</v>
      </c>
      <c r="EG111" s="15">
        <f t="shared" si="332"/>
        <v>0</v>
      </c>
      <c r="EI111" s="15">
        <v>706000</v>
      </c>
      <c r="EN111" s="15">
        <f t="shared" si="334"/>
        <v>0</v>
      </c>
      <c r="EQ111" s="15">
        <f t="shared" si="335"/>
        <v>0</v>
      </c>
      <c r="ET111" s="15">
        <f t="shared" si="336"/>
        <v>0</v>
      </c>
      <c r="EW111" s="15">
        <f t="shared" si="337"/>
        <v>0</v>
      </c>
      <c r="EZ111" s="15">
        <f t="shared" si="338"/>
        <v>0</v>
      </c>
    </row>
    <row r="112" spans="1:161" outlineLevel="1">
      <c r="A112" s="1" t="s">
        <v>91</v>
      </c>
      <c r="B112" s="1" t="s">
        <v>94</v>
      </c>
      <c r="C112" s="4" t="s">
        <v>95</v>
      </c>
      <c r="D112" s="8">
        <v>0</v>
      </c>
      <c r="E112" s="28">
        <v>0</v>
      </c>
      <c r="F112" s="8">
        <v>0</v>
      </c>
      <c r="G112" s="28">
        <v>0</v>
      </c>
      <c r="H112" s="9">
        <v>96000</v>
      </c>
      <c r="I112" s="14">
        <f>H112</f>
        <v>96000</v>
      </c>
      <c r="J112" s="14"/>
      <c r="L112" s="118">
        <v>0</v>
      </c>
      <c r="M112" s="17" t="e">
        <f>L112/F112-1</f>
        <v>#DIV/0!</v>
      </c>
      <c r="N112" s="17">
        <f>L112/I112-1</f>
        <v>-1</v>
      </c>
      <c r="P112" s="15"/>
      <c r="Q112" s="15"/>
      <c r="X112" s="15"/>
      <c r="AF112" s="182"/>
      <c r="AJ112" s="182"/>
      <c r="AL112" s="187">
        <v>60000</v>
      </c>
      <c r="BL112" s="15">
        <v>70000</v>
      </c>
      <c r="BM112" s="235" t="e">
        <f t="shared" si="341"/>
        <v>#DIV/0!</v>
      </c>
      <c r="BS112" s="15">
        <f t="shared" si="342"/>
        <v>0</v>
      </c>
      <c r="BV112" s="15">
        <f t="shared" si="343"/>
        <v>0</v>
      </c>
      <c r="BY112" s="15">
        <f t="shared" si="344"/>
        <v>0</v>
      </c>
      <c r="BZ112" s="145"/>
      <c r="CB112" s="15">
        <f t="shared" si="345"/>
        <v>0</v>
      </c>
      <c r="CE112" s="15">
        <f t="shared" si="346"/>
        <v>0</v>
      </c>
      <c r="CH112" s="15">
        <f t="shared" si="347"/>
        <v>0</v>
      </c>
      <c r="CK112" s="15">
        <f t="shared" si="348"/>
        <v>0</v>
      </c>
      <c r="CN112" s="15">
        <f t="shared" si="349"/>
        <v>0</v>
      </c>
      <c r="CP112" s="15">
        <v>110000</v>
      </c>
      <c r="CV112" s="15">
        <f t="shared" si="321"/>
        <v>0</v>
      </c>
      <c r="CY112" s="15">
        <f t="shared" si="322"/>
        <v>0</v>
      </c>
      <c r="DB112" s="15">
        <f t="shared" si="323"/>
        <v>0</v>
      </c>
      <c r="DE112" s="15">
        <f t="shared" si="324"/>
        <v>0</v>
      </c>
      <c r="DH112" s="15">
        <f t="shared" si="325"/>
        <v>0</v>
      </c>
      <c r="DK112" s="15">
        <f t="shared" si="326"/>
        <v>0</v>
      </c>
      <c r="DN112" s="15">
        <f t="shared" si="327"/>
        <v>0</v>
      </c>
      <c r="DQ112" s="15">
        <f t="shared" si="328"/>
        <v>0</v>
      </c>
      <c r="DS112" s="15">
        <v>242000</v>
      </c>
      <c r="DX112" s="15">
        <f t="shared" si="329"/>
        <v>0</v>
      </c>
      <c r="EA112" s="15">
        <f t="shared" si="330"/>
        <v>0</v>
      </c>
      <c r="ED112" s="15">
        <f t="shared" si="331"/>
        <v>0</v>
      </c>
      <c r="EG112" s="15">
        <f t="shared" si="332"/>
        <v>0</v>
      </c>
      <c r="EI112" s="15">
        <v>60000</v>
      </c>
      <c r="EN112" s="15">
        <f t="shared" si="334"/>
        <v>0</v>
      </c>
      <c r="EQ112" s="15">
        <f t="shared" si="335"/>
        <v>0</v>
      </c>
      <c r="ET112" s="15">
        <f t="shared" si="336"/>
        <v>0</v>
      </c>
      <c r="EW112" s="15">
        <f t="shared" si="337"/>
        <v>0</v>
      </c>
      <c r="EZ112" s="15">
        <f t="shared" si="338"/>
        <v>0</v>
      </c>
    </row>
    <row r="113" spans="1:161" outlineLevel="1">
      <c r="A113" s="1" t="s">
        <v>91</v>
      </c>
      <c r="B113" s="4" t="s">
        <v>46</v>
      </c>
      <c r="C113" s="4" t="s">
        <v>96</v>
      </c>
      <c r="D113" s="8">
        <v>50000</v>
      </c>
      <c r="E113" s="28">
        <v>2169</v>
      </c>
      <c r="F113" s="8">
        <v>50000</v>
      </c>
      <c r="G113" s="28">
        <v>2169</v>
      </c>
      <c r="H113" s="9">
        <v>1084500</v>
      </c>
      <c r="I113" s="14"/>
      <c r="J113" s="14"/>
      <c r="P113" s="15"/>
      <c r="Q113" s="15"/>
      <c r="X113" s="15"/>
      <c r="AF113" s="182"/>
      <c r="AJ113" s="182"/>
      <c r="BZ113" s="145"/>
      <c r="CV113" s="15">
        <f t="shared" si="321"/>
        <v>0</v>
      </c>
      <c r="CY113" s="15">
        <f t="shared" si="322"/>
        <v>0</v>
      </c>
      <c r="DB113" s="15">
        <f t="shared" si="323"/>
        <v>0</v>
      </c>
      <c r="DE113" s="15">
        <f t="shared" si="324"/>
        <v>0</v>
      </c>
      <c r="DH113" s="15">
        <f t="shared" si="325"/>
        <v>0</v>
      </c>
      <c r="DK113" s="15">
        <f t="shared" si="326"/>
        <v>0</v>
      </c>
      <c r="DN113" s="15">
        <f t="shared" si="327"/>
        <v>0</v>
      </c>
      <c r="DQ113" s="15">
        <f t="shared" si="328"/>
        <v>0</v>
      </c>
      <c r="DU113" s="15">
        <v>0</v>
      </c>
      <c r="DW113" s="15">
        <v>0</v>
      </c>
      <c r="DX113" s="15">
        <f t="shared" si="329"/>
        <v>0</v>
      </c>
      <c r="DZ113" s="15">
        <v>0</v>
      </c>
      <c r="EA113" s="15">
        <f t="shared" si="330"/>
        <v>0</v>
      </c>
      <c r="EC113" s="15">
        <v>0</v>
      </c>
      <c r="ED113" s="15">
        <f t="shared" si="331"/>
        <v>0</v>
      </c>
      <c r="EF113" s="15">
        <v>0</v>
      </c>
      <c r="EG113" s="15">
        <f t="shared" si="332"/>
        <v>0</v>
      </c>
      <c r="EN113" s="15">
        <f t="shared" si="334"/>
        <v>0</v>
      </c>
      <c r="EQ113" s="15">
        <f t="shared" si="335"/>
        <v>0</v>
      </c>
      <c r="ET113" s="15">
        <f t="shared" si="336"/>
        <v>0</v>
      </c>
      <c r="EW113" s="15">
        <f t="shared" si="337"/>
        <v>0</v>
      </c>
      <c r="EZ113" s="15">
        <f t="shared" si="338"/>
        <v>0</v>
      </c>
    </row>
    <row r="114" spans="1:161" outlineLevel="1">
      <c r="A114" s="1" t="s">
        <v>97</v>
      </c>
      <c r="B114" s="4" t="s">
        <v>48</v>
      </c>
      <c r="C114" s="4" t="s">
        <v>98</v>
      </c>
      <c r="D114" s="8">
        <v>50000</v>
      </c>
      <c r="E114" s="28">
        <v>2169</v>
      </c>
      <c r="F114" s="8">
        <v>50000</v>
      </c>
      <c r="G114" s="28">
        <v>2169</v>
      </c>
      <c r="H114" s="9">
        <v>1084500</v>
      </c>
      <c r="I114" s="14"/>
      <c r="J114" s="14"/>
      <c r="P114" s="15"/>
      <c r="Q114" s="15"/>
      <c r="X114" s="15"/>
      <c r="AF114" s="182"/>
      <c r="AJ114" s="182"/>
      <c r="BZ114" s="145"/>
      <c r="CV114" s="15">
        <f t="shared" si="321"/>
        <v>0</v>
      </c>
      <c r="CY114" s="15">
        <f t="shared" si="322"/>
        <v>0</v>
      </c>
      <c r="DB114" s="15">
        <f t="shared" si="323"/>
        <v>0</v>
      </c>
      <c r="DE114" s="15">
        <f t="shared" si="324"/>
        <v>0</v>
      </c>
      <c r="DH114" s="15">
        <f t="shared" si="325"/>
        <v>0</v>
      </c>
      <c r="DK114" s="15">
        <f t="shared" si="326"/>
        <v>0</v>
      </c>
      <c r="DN114" s="15">
        <f t="shared" si="327"/>
        <v>0</v>
      </c>
      <c r="DQ114" s="15">
        <f t="shared" si="328"/>
        <v>0</v>
      </c>
      <c r="DX114" s="15">
        <f t="shared" si="329"/>
        <v>0</v>
      </c>
      <c r="EA114" s="15">
        <f t="shared" si="330"/>
        <v>0</v>
      </c>
      <c r="ED114" s="15">
        <f t="shared" si="331"/>
        <v>0</v>
      </c>
      <c r="EG114" s="15">
        <f t="shared" si="332"/>
        <v>0</v>
      </c>
      <c r="EN114" s="15">
        <f t="shared" si="334"/>
        <v>0</v>
      </c>
      <c r="EQ114" s="15">
        <f t="shared" si="335"/>
        <v>0</v>
      </c>
      <c r="ET114" s="15">
        <f t="shared" si="336"/>
        <v>0</v>
      </c>
      <c r="EW114" s="15">
        <f t="shared" si="337"/>
        <v>0</v>
      </c>
      <c r="EZ114" s="15">
        <f t="shared" si="338"/>
        <v>0</v>
      </c>
    </row>
    <row r="115" spans="1:161" outlineLevel="1">
      <c r="A115" s="10" t="s">
        <v>0</v>
      </c>
      <c r="P115" s="15"/>
      <c r="Q115" s="15"/>
      <c r="X115" s="15"/>
      <c r="AF115" s="182"/>
      <c r="AJ115" s="182"/>
      <c r="BZ115" s="145"/>
      <c r="CV115" s="15">
        <f t="shared" si="321"/>
        <v>0</v>
      </c>
      <c r="CY115" s="15">
        <f t="shared" si="322"/>
        <v>0</v>
      </c>
      <c r="DB115" s="15">
        <f t="shared" si="323"/>
        <v>0</v>
      </c>
      <c r="DE115" s="15">
        <f t="shared" si="324"/>
        <v>0</v>
      </c>
      <c r="DH115" s="15">
        <f t="shared" si="325"/>
        <v>0</v>
      </c>
      <c r="DK115" s="15">
        <f t="shared" si="326"/>
        <v>0</v>
      </c>
      <c r="DN115" s="15">
        <f t="shared" si="327"/>
        <v>0</v>
      </c>
      <c r="DQ115" s="15">
        <f t="shared" si="328"/>
        <v>0</v>
      </c>
      <c r="DX115" s="15">
        <f t="shared" si="329"/>
        <v>0</v>
      </c>
      <c r="EA115" s="15">
        <f t="shared" si="330"/>
        <v>0</v>
      </c>
      <c r="ED115" s="15">
        <f t="shared" si="331"/>
        <v>0</v>
      </c>
      <c r="EG115" s="15">
        <f t="shared" si="332"/>
        <v>0</v>
      </c>
      <c r="EN115" s="15">
        <f t="shared" si="334"/>
        <v>0</v>
      </c>
      <c r="EQ115" s="15">
        <f t="shared" si="335"/>
        <v>0</v>
      </c>
      <c r="ET115" s="15">
        <f t="shared" si="336"/>
        <v>0</v>
      </c>
      <c r="EW115" s="15">
        <f t="shared" si="337"/>
        <v>0</v>
      </c>
      <c r="EZ115" s="15">
        <f t="shared" si="338"/>
        <v>0</v>
      </c>
    </row>
    <row r="116" spans="1:161" outlineLevel="1">
      <c r="A116" s="1" t="s">
        <v>99</v>
      </c>
      <c r="B116" s="1" t="s">
        <v>100</v>
      </c>
      <c r="C116" s="4" t="s">
        <v>101</v>
      </c>
      <c r="D116" s="8">
        <v>0</v>
      </c>
      <c r="E116" s="28">
        <v>0</v>
      </c>
      <c r="F116" s="8">
        <v>-1200</v>
      </c>
      <c r="G116" s="28">
        <v>100</v>
      </c>
      <c r="H116" s="9">
        <v>-1200</v>
      </c>
      <c r="I116" s="14">
        <v>-1200</v>
      </c>
      <c r="J116" s="14"/>
      <c r="L116" s="118">
        <v>0</v>
      </c>
      <c r="P116" s="15"/>
      <c r="Q116" s="15"/>
      <c r="X116" s="15"/>
      <c r="AF116" s="182"/>
      <c r="AJ116" s="182"/>
      <c r="BL116" s="15">
        <v>1281.0999999999999</v>
      </c>
      <c r="BS116" s="15">
        <f t="shared" ref="BS116" si="350">BO116+BR116</f>
        <v>0</v>
      </c>
      <c r="BV116" s="15">
        <f t="shared" ref="BV116" si="351">BS116+BU116</f>
        <v>0</v>
      </c>
      <c r="BY116" s="15">
        <f t="shared" ref="BY116" si="352">BV116+BX116</f>
        <v>0</v>
      </c>
      <c r="BZ116" s="145"/>
      <c r="CB116" s="15">
        <f t="shared" ref="CB116" si="353">BY116+CA116</f>
        <v>0</v>
      </c>
      <c r="CE116" s="15">
        <f t="shared" ref="CE116" si="354">CB116+CD116</f>
        <v>0</v>
      </c>
      <c r="CH116" s="15">
        <f t="shared" ref="CH116" si="355">CE116+CG116</f>
        <v>0</v>
      </c>
      <c r="CK116" s="15">
        <f t="shared" ref="CK116" si="356">CH116+CJ116</f>
        <v>0</v>
      </c>
      <c r="CN116" s="15">
        <f t="shared" ref="CN116" si="357">CK116+CM116</f>
        <v>0</v>
      </c>
      <c r="CR116" s="15">
        <v>0</v>
      </c>
      <c r="CV116" s="15">
        <f t="shared" si="321"/>
        <v>0</v>
      </c>
      <c r="CY116" s="15">
        <f t="shared" si="322"/>
        <v>0</v>
      </c>
      <c r="DB116" s="15">
        <f t="shared" si="323"/>
        <v>0</v>
      </c>
      <c r="DE116" s="15">
        <f t="shared" si="324"/>
        <v>0</v>
      </c>
      <c r="DH116" s="15">
        <f t="shared" si="325"/>
        <v>0</v>
      </c>
      <c r="DK116" s="15">
        <f t="shared" si="326"/>
        <v>0</v>
      </c>
      <c r="DN116" s="15">
        <f t="shared" si="327"/>
        <v>0</v>
      </c>
      <c r="DQ116" s="15">
        <f t="shared" si="328"/>
        <v>0</v>
      </c>
      <c r="DX116" s="15">
        <f t="shared" si="329"/>
        <v>0</v>
      </c>
      <c r="EA116" s="15">
        <f t="shared" si="330"/>
        <v>0</v>
      </c>
      <c r="ED116" s="15">
        <f t="shared" si="331"/>
        <v>0</v>
      </c>
      <c r="EG116" s="15">
        <f t="shared" si="332"/>
        <v>0</v>
      </c>
      <c r="EN116" s="15">
        <f t="shared" si="334"/>
        <v>0</v>
      </c>
      <c r="EQ116" s="15">
        <f t="shared" si="335"/>
        <v>0</v>
      </c>
      <c r="ET116" s="15">
        <f t="shared" si="336"/>
        <v>0</v>
      </c>
      <c r="EW116" s="15">
        <f t="shared" si="337"/>
        <v>0</v>
      </c>
      <c r="EZ116" s="15">
        <f t="shared" si="338"/>
        <v>0</v>
      </c>
    </row>
    <row r="117" spans="1:161" outlineLevel="1">
      <c r="A117" s="1" t="s">
        <v>99</v>
      </c>
      <c r="B117" s="4" t="s">
        <v>46</v>
      </c>
      <c r="C117" s="4" t="s">
        <v>102</v>
      </c>
      <c r="D117" s="8">
        <v>0</v>
      </c>
      <c r="E117" s="28">
        <v>0</v>
      </c>
      <c r="F117" s="8">
        <v>-1200</v>
      </c>
      <c r="G117" s="28">
        <v>100</v>
      </c>
      <c r="H117" s="9">
        <v>-1200</v>
      </c>
      <c r="I117" s="14"/>
      <c r="J117" s="14"/>
      <c r="P117" s="15"/>
      <c r="Q117" s="15"/>
      <c r="X117" s="15"/>
      <c r="AF117" s="182"/>
      <c r="AJ117" s="182"/>
      <c r="BZ117" s="145"/>
    </row>
    <row r="118" spans="1:161" outlineLevel="1">
      <c r="A118" s="1" t="s">
        <v>103</v>
      </c>
      <c r="B118" s="4" t="s">
        <v>48</v>
      </c>
      <c r="C118" s="4" t="s">
        <v>104</v>
      </c>
      <c r="D118" s="8">
        <v>0</v>
      </c>
      <c r="E118" s="28">
        <v>0</v>
      </c>
      <c r="F118" s="8">
        <v>-1200</v>
      </c>
      <c r="G118" s="28">
        <v>100</v>
      </c>
      <c r="H118" s="9">
        <v>-1200</v>
      </c>
      <c r="I118" s="14"/>
      <c r="J118" s="14"/>
      <c r="P118" s="15"/>
      <c r="Q118" s="15"/>
      <c r="X118" s="15"/>
      <c r="AF118" s="182"/>
      <c r="AJ118" s="182"/>
      <c r="BZ118" s="145"/>
    </row>
    <row r="119" spans="1:161" outlineLevel="1">
      <c r="A119" s="10" t="s">
        <v>0</v>
      </c>
      <c r="P119" s="15"/>
      <c r="Q119" s="15"/>
      <c r="X119" s="15"/>
      <c r="AF119" s="182"/>
      <c r="AJ119" s="182"/>
      <c r="BZ119" s="145"/>
    </row>
    <row r="120" spans="1:161" outlineLevel="1">
      <c r="A120" s="468" t="s">
        <v>105</v>
      </c>
      <c r="B120" s="467"/>
      <c r="C120" s="469"/>
      <c r="D120" s="8">
        <v>5707000</v>
      </c>
      <c r="E120" s="28">
        <v>109.84</v>
      </c>
      <c r="F120" s="8">
        <v>5936574.3399999999</v>
      </c>
      <c r="G120" s="28">
        <v>105.59</v>
      </c>
      <c r="H120" s="9">
        <v>6268720.0999999996</v>
      </c>
      <c r="I120" s="14"/>
      <c r="J120" s="14"/>
      <c r="P120" s="15"/>
      <c r="Q120" s="15"/>
      <c r="X120" s="15"/>
      <c r="AF120" s="182"/>
      <c r="AJ120" s="182"/>
      <c r="BZ120" s="145"/>
    </row>
    <row r="121" spans="1:161" outlineLevel="1">
      <c r="P121" s="15"/>
      <c r="Q121" s="15"/>
      <c r="X121" s="15"/>
      <c r="AF121" s="182"/>
      <c r="AJ121" s="182"/>
      <c r="BZ121" s="145"/>
    </row>
    <row r="122" spans="1:161" ht="15.75" thickBot="1">
      <c r="A122" s="24"/>
      <c r="B122" s="25" t="s">
        <v>268</v>
      </c>
      <c r="C122" s="25" t="s">
        <v>315</v>
      </c>
      <c r="D122" s="22">
        <f>D116+D105+D93+D92+D90+D89+D88+D75+D71+D40+D37</f>
        <v>193900</v>
      </c>
      <c r="E122" s="30"/>
      <c r="F122" s="22">
        <f>F116+F105+F93+F92+F90+F89+F88+F75+F71+F40+F37</f>
        <v>209200</v>
      </c>
      <c r="G122" s="30"/>
      <c r="H122" s="22"/>
      <c r="I122" s="22">
        <f>I116+I105+I93+I92+I90+I89+I88+I75+I71+I40+I37</f>
        <v>219557.47466666665</v>
      </c>
      <c r="J122" s="22"/>
      <c r="K122" s="20"/>
      <c r="L122" s="166">
        <f>L116+L105+L93+L92+L90+L89+L88+L75+L71+L40+L37</f>
        <v>241200</v>
      </c>
      <c r="M122" s="23">
        <f>L122/F122-1</f>
        <v>0.15296367112810705</v>
      </c>
      <c r="N122" s="23">
        <f>L122/I122-1</f>
        <v>9.857339344147209E-2</v>
      </c>
      <c r="P122" s="144">
        <f>L122</f>
        <v>241200</v>
      </c>
      <c r="Q122" s="148"/>
      <c r="U122" s="166">
        <f>U116+U105+U93+U92+U90+U89+U88+U75+U71+U40+U37</f>
        <v>230500</v>
      </c>
      <c r="X122" s="22">
        <f>X116+X105+X93+X92+X90+X89+X88+X75+X71+X40+X37</f>
        <v>230500</v>
      </c>
      <c r="Z122" s="22">
        <f>Z116+Z105+Z93+Z92+Z90+Z89+Z88+Z75+Z71+Z40+Z37+Z84+Z94</f>
        <v>240800</v>
      </c>
      <c r="AD122" s="22">
        <f>AD116+AD105+AD93+AD92+AD90+AD89+AD88+AD75+AD71+AD40+AD37+AD84+AD94</f>
        <v>240800</v>
      </c>
      <c r="AF122" s="182"/>
      <c r="AH122" s="22">
        <f>AH116+AH105+AH93+AH92+AH90+AH89+AH88+AH75+AH71+AH40+AH37+AH84+AH94</f>
        <v>240800</v>
      </c>
      <c r="AJ122" s="182"/>
      <c r="AL122" s="144">
        <f>AL116+AL105+AL93+AL92+AL90+AL89+AL88+AL75+AL71+AL40+AL37+AL84+AL94</f>
        <v>219140.41</v>
      </c>
      <c r="AN122" s="144">
        <f>AN116+AN105+AN93+AN92+AN90+AN89+AN88+AN75+AN71+AN40+AN37+AN84+AN94</f>
        <v>203000</v>
      </c>
      <c r="AO122" s="17">
        <f t="shared" ref="AO122" si="358">AN122/L122-1</f>
        <v>-0.15837479270315091</v>
      </c>
      <c r="AP122" s="17">
        <f t="shared" ref="AP122" si="359">AN122/AH122-1</f>
        <v>-0.15697674418604646</v>
      </c>
      <c r="AQ122" s="17">
        <f t="shared" ref="AQ122" si="360">AN122/AL122-1</f>
        <v>-7.365328010475114E-2</v>
      </c>
      <c r="AZ122" s="144">
        <f>AZ116+AZ105+AZ93+AZ92+AZ90+AZ89+AZ88+AZ75+AZ71+AZ40+AZ37+AZ84+AZ94</f>
        <v>0</v>
      </c>
      <c r="BA122" s="144">
        <f>BA116+BA105+BA93+BA92+BA90+BA89+BA88+BA75+BA71+BA40+BA37+BA84+BA94</f>
        <v>203000</v>
      </c>
      <c r="BD122" s="144">
        <f>BD116+BD105+BD93+BD92+BD90+BD89+BD88+BD75+BD71+BD40+BD37+BD84+BD94</f>
        <v>203000</v>
      </c>
      <c r="BG122" s="144">
        <f>BG116+BG105+BG93+BG92+BG90+BG89+BG88+BG75+BG71+BG40+BG37+BG84+BG94</f>
        <v>203000</v>
      </c>
      <c r="BI122" s="144">
        <f>BI116+BI105+BI93+BI92+BI90+BI89+BI88+BI75+BI71+BI40+BI37+BI84+BI94+BI76+BI106</f>
        <v>87800</v>
      </c>
      <c r="BJ122" s="144">
        <f>BJ116+BJ105+BJ93+BJ92+BJ90+BJ89+BJ88+BJ75+BJ71+BJ40+BJ37+BJ84+BJ94+BJ76+BJ106</f>
        <v>290800</v>
      </c>
      <c r="BL122" s="144">
        <f>BL116+BL105+BL93+BL92+BL90+BL89+BL88+BL75+BL71+BL40+BL37+BL84+BL94+BL76+BL106</f>
        <v>265528.33</v>
      </c>
      <c r="BM122" s="240">
        <f>BL122/BJ122</f>
        <v>0.91309604539202205</v>
      </c>
      <c r="BO122" s="165">
        <f>BO116+BO105+BO93+BO92+BO90+BO89+BO88+BO75+BO71+BO40+BO37+BO84+BO94+BO76+BO106+BO67</f>
        <v>514500</v>
      </c>
      <c r="BP122" s="240">
        <f>BO122/BL122</f>
        <v>1.9376463520860465</v>
      </c>
      <c r="BR122" s="165">
        <f>BR116+BR105+BR93+BR92+BR90+BR89+BR88+BR75+BR71+BR40+BR37+BR84+BR94+BR76+BR106+BR67+BR96</f>
        <v>28140</v>
      </c>
      <c r="BS122" s="165">
        <f>BS116+BS105+BS93+BS92+BS90+BS89+BS88+BS75+BS71+BS40+BS37+BS84+BS94+BS76+BS106+BS67+BS96</f>
        <v>542640</v>
      </c>
      <c r="BU122" s="165">
        <f>BU116+BU105+BU93+BU92+BU90+BU89+BU88+BU75+BU71+BU40+BU37+BU84+BU94+BU76+BU106+BU67+BU96</f>
        <v>80000</v>
      </c>
      <c r="BV122" s="165">
        <f>BV116+BV105+BV93+BV92+BV90+BV89+BV88+BV75+BV71+BV40+BV37+BV84+BV94+BV76+BV106+BV67+BV96</f>
        <v>622640</v>
      </c>
      <c r="BX122" s="165">
        <f>BX116+BX105+BX93+BX92+BX90+BX89+BX88+BX75+BX71+BX40+BX37+BX84+BX94+BX76+BX106+BX67+BX96</f>
        <v>0</v>
      </c>
      <c r="BY122" s="165">
        <f>BY116+BY105+BY93+BY92+BY90+BY89+BY88+BY75+BY71+BY40+BY37+BY84+BY94+BY76+BY106+BY67+BY96</f>
        <v>622640</v>
      </c>
      <c r="BZ122" s="145"/>
      <c r="CA122" s="319">
        <f>CA116+CA105+CA93+CA92+CA90+CA89+CA88+CA75+CA71+CA40+CA37+CA84+CA94+CA76+CA106+CA67+CA96</f>
        <v>0</v>
      </c>
      <c r="CB122" s="165">
        <f>CB116+CB105+CB93+CB92+CB90+CB89+CB88+CB75+CB71+CB40+CB37+CB84+CB94+CB76+CB106+CB67+CB96</f>
        <v>622640</v>
      </c>
      <c r="CD122" s="165">
        <f>CD116+CD105+CD93+CD92+CD90+CD89+CD88+CD75+CD71+CD40+CD37+CD84+CD94+CD76+CD106+CD67+CD96</f>
        <v>0</v>
      </c>
      <c r="CE122" s="165">
        <f>CE116+CE105+CE93+CE92+CE90+CE89+CE88+CE75+CE71+CE40+CE37+CE84+CE94+CE76+CE106+CE67+CE96</f>
        <v>622640</v>
      </c>
      <c r="CG122" s="165">
        <f>CG116+CG105+CG93+CG92+CG90+CG89+CG88+CG75+CG71+CG40+CG37+CG84+CG94+CG76+CG106+CG67+CG96</f>
        <v>0</v>
      </c>
      <c r="CH122" s="165">
        <f>CH116+CH105+CH93+CH92+CH90+CH89+CH88+CH75+CH71+CH40+CH37+CH84+CH94+CH76+CH106+CH67+CH96</f>
        <v>622640</v>
      </c>
      <c r="CJ122" s="165">
        <f>CJ116+CJ105+CJ93+CJ92+CJ90+CJ89+CJ88+CJ75+CJ71+CJ40+CJ37+CJ84+CJ94+CJ76+CJ106+CJ67+CJ96</f>
        <v>-29000</v>
      </c>
      <c r="CK122" s="165">
        <f>CK116+CK105+CK93+CK92+CK90+CK89+CK88+CK75+CK71+CK40+CK37+CK84+CK94+CK76+CK106+CK67+CK96</f>
        <v>593640</v>
      </c>
      <c r="CM122" s="165">
        <f>CM116+CM105+CM93+CM92+CM90+CM89+CM88+CM75+CM71+CM40+CM37+CM84+CM94+CM76+CM106+CM67+CM96</f>
        <v>0</v>
      </c>
      <c r="CN122" s="165">
        <f>CN116+CN105+CN93+CN92+CN90+CN89+CN88+CN75+CN71+CN40+CN37+CN84+CN94+CN76+CN106+CN67+CN96</f>
        <v>593640</v>
      </c>
      <c r="CP122" s="165">
        <f>CP116+CP105+CP93+CP92+CP90+CP89+CP88+CP75+CP71+CP40+CP37+CP84+CP94+CP76+CP106+CP67+CP96</f>
        <v>435708.33</v>
      </c>
      <c r="CR122" s="165">
        <f>CR116+CR105+CR93+CR92+CR90+CR89+CR88+CR75+CR71+CR40+CR37+CR84+CR94+CR76+CR106+CR67+CR96</f>
        <v>514800</v>
      </c>
      <c r="CS122" s="240">
        <f>CR122/CP122</f>
        <v>1.1815243468032846</v>
      </c>
      <c r="CU122" s="165">
        <f>CU116+CU105+CU93+CU92+CU90+CU89+CU88+CU75+CU71+CU40+CU37+CU84+CU94+CU76+CU106+CU67+CU96</f>
        <v>-150000</v>
      </c>
      <c r="CV122" s="165">
        <f>CV116+CV105+CV93+CV92+CV90+CV89+CV88+CV75+CV71+CV40+CV37+CV84+CV94+CV76+CV106+CV67+CV96</f>
        <v>364800</v>
      </c>
      <c r="CX122" s="165">
        <f>CX116+CX105+CX93+CX92+CX90+CX89+CX88+CX75+CX71+CX40+CX37+CX84+CX94+CX76+CX106+CX67+CX96</f>
        <v>13000</v>
      </c>
      <c r="CY122" s="165">
        <f>CY116+CY105+CY93+CY92+CY90+CY89+CY88+CY75+CY71+CY40+CY37+CY84+CY94+CY76+CY106+CY67+CY96</f>
        <v>377800</v>
      </c>
      <c r="DA122" s="165">
        <f>DA116+DA105+DA93+DA92+DA90+DA89+DA88+DA75+DA71+DA40+DA37+DA84+DA94+DA76+DA106+DA67+DA96+DA85</f>
        <v>249450</v>
      </c>
      <c r="DB122" s="165">
        <f>DB116+DB105+DB93+DB92+DB90+DB89+DB88+DB75+DB71+DB40+DB37+DB84+DB94+DB76+DB106+DB67+DB96+DB85</f>
        <v>627250</v>
      </c>
      <c r="DD122" s="165">
        <f>DD116+DD105+DD93+DD92+DD90+DD89+DD88+DD75+DD71+DD40+DD37+DD84+DD94+DD76+DD106+DD67+DD96+DD85+DD55+DD77</f>
        <v>16500</v>
      </c>
      <c r="DE122" s="165">
        <f>DE116+DE105+DE93+DE92+DE90+DE89+DE88+DE75+DE71+DE40+DE37+DE84+DE94+DE76+DE106+DE67+DE96+DE85+DE55+DE77</f>
        <v>643750</v>
      </c>
      <c r="DG122" s="165">
        <f>DG116+DG105+DG93+DG92+DG90+DG89+DG88+DG75+DG71+DG40+DG37+DG84+DG94+DG76+DG106+DG67+DG96+DG85+DG55+DG77+DG56</f>
        <v>155000</v>
      </c>
      <c r="DH122" s="165">
        <f>DH116+DH105+DH93+DH92+DH90+DH89+DH88+DH75+DH71+DH40+DH37+DH84+DH94+DH76+DH106+DH67+DH96+DH85+DH55+DH77+DH56</f>
        <v>798750</v>
      </c>
      <c r="DJ122" s="165">
        <f>DJ116+DJ105+DJ93+DJ92+DJ90+DJ89+DJ88+DJ75+DJ71+DJ40+DJ37+DJ84+DJ94+DJ76+DJ106+DJ67+DJ96+DJ85+DJ55+DJ77+DJ56</f>
        <v>15000</v>
      </c>
      <c r="DK122" s="165">
        <f>DK116+DK105+DK93+DK92+DK90+DK89+DK88+DK75+DK71+DK40+DK37+DK84+DK94+DK76+DK106+DK67+DK96+DK85+DK55+DK77+DK56</f>
        <v>813750</v>
      </c>
      <c r="DM122" s="165">
        <f>DM116+DM105+DM93+DM92+DM90+DM89+DM88+DM75+DM71+DM40+DM37+DM84+DM94+DM76+DM106+DM67+DM96+DM85+DM55+DM77+DM56+DM83</f>
        <v>8000</v>
      </c>
      <c r="DN122" s="165">
        <f>DN116+DN105+DN93+DN92+DN90+DN89+DN88+DN75+DN71+DN40+DN37+DN84+DN94+DN76+DN106+DN67+DN96+DN85+DN55+DN77+DN56+DN83</f>
        <v>821750</v>
      </c>
      <c r="DP122" s="165">
        <f>DP116+DP105+DP93+DP92+DP90+DP89+DP88+DP75+DP71+DP40+DP37+DP84+DP94+DP76+DP106+DP67+DP96+DP85+DP55+DP77+DP56+DP83</f>
        <v>0</v>
      </c>
      <c r="DQ122" s="165">
        <f>DQ116+DQ105+DQ93+DQ92+DQ90+DQ89+DQ88+DQ75+DQ71+DQ40+DQ37+DQ84+DQ94+DQ76+DQ106+DQ67+DQ96+DQ85+DQ55+DQ77+DQ56+DQ83</f>
        <v>821750</v>
      </c>
      <c r="DS122" s="165">
        <f>DS116+DS105+DS93+DS92+DS90+DS89+DS88+DS75+DS71+DS40+DS37+DS84+DS94+DS76+DS106+DS67+DS96+DS85+DS55+DS77+DS56+DS83</f>
        <v>801065.93</v>
      </c>
      <c r="DU122" s="165">
        <f>DU116+DU105+DU93+DU92+DU90+DU89+DU88+DU75+DU71+DU40+DU37+DU84+DU94+DU76+DU106+DU67+DU96+DU85+DU55+DU77+DU56+DU83+DU41</f>
        <v>430400</v>
      </c>
      <c r="DW122" s="165">
        <f>DW116+DW105+DW93+DW92+DW90+DW89+DW88+DW75+DW71+DW40+DW37+DW84+DW94+DW76+DW106+DW67+DW96+DW85+DW55+DW77+DW56+DW83</f>
        <v>0</v>
      </c>
      <c r="DX122" s="165">
        <f>DX116+DX105+DX93+DX92+DX90+DX89+DX88+DX75+DX71+DX40+DX37+DX84+DX94+DX76+DX106+DX67+DX96+DX85+DX55+DX77+DX56+DX83+DX41</f>
        <v>430400</v>
      </c>
      <c r="DZ122" s="165" t="e">
        <f>DZ116+DZ105+DZ93+DZ92+DZ90+DZ89+DZ88+DZ75+DZ71+DZ40+DZ37+DZ84+DZ94+DZ76+DZ106+DZ67+DZ96+DZ85+DZ55+DZ77+DZ56+DZ83+#REF!+DZ60+DZ51+DZ45+DZ41</f>
        <v>#REF!</v>
      </c>
      <c r="EA122" s="165" t="e">
        <f>EA116+EA105+EA93+EA92+EA90+EA89+EA88+EA75+EA71+EA40+EA37+EA84+EA94+EA76+EA106+EA67+EA96+EA85+EA55+EA77+EA56+EA83+#REF!+EA60+EA51+EA45+EA41</f>
        <v>#REF!</v>
      </c>
      <c r="EC122" s="165" t="e">
        <f>EC116+EC105+EC93+EC92+EC90+EC89+EC88+EC75+EC71+EC40+EC37+EC84+EC94+EC76+EC106+EC67+EC96+EC85+EC55+EC77+EC56+EC83+#REF!+EC60+EC51+EC45+EC41</f>
        <v>#REF!</v>
      </c>
      <c r="ED122" s="165" t="e">
        <f>ED116+ED105+ED93+ED92+ED90+ED89+ED88+ED75+ED71+ED40+ED37+ED84+ED94+ED76+ED106+ED67+ED96+ED85+ED55+ED77+ED56+ED83+#REF!+ED60+ED51+ED45+ED41</f>
        <v>#REF!</v>
      </c>
      <c r="EF122" s="165">
        <f>EF116+EF105+EF93+EF92+EF90+EF89+EF88+EF75+EF71+EF40+EF37+EF84+EF94+EF76+EF106+EF67+EF96+EF85+EF55+EF77+EF56+EF83+EF95+EF82+EF59+EF60+EF51+EF45+EF41</f>
        <v>-24610</v>
      </c>
      <c r="EG122" s="165">
        <f>EG116+EG105+EG93+EG92+EG90+EG89+EG88+EG75+EG71+EG40+EG37+EG84+EG94+EG76+EG106+EG67+EG96+EG85+EG55+EG77+EG56+EG83+EG60+EG51+EG45+EG41</f>
        <v>680083</v>
      </c>
      <c r="EI122" s="165">
        <f>EI116+EI105+EI93+EI92+EI90+EI89+EI88+EI75+EI71+EI40+EI37+EI84+EI94+EI76+EI106+EI67+EI96+EI85+EI55+EI77+EI56+EI83+EI95+EI82+EI59+EI60+EI51+EI45+EI41</f>
        <v>792358.71</v>
      </c>
      <c r="EK122" s="165">
        <f>EK116+EK105+EK93+EK92+EK90+EK89+EK88+EK75+EK71+EK40+EK37+EK84+EK94+EK76+EK106+EK67+EK96+EK85+EK55+EK77+EK56+EK83+EK95+EK82+EK59+EK60+EK51+EK45+EK41+EK64</f>
        <v>710800</v>
      </c>
      <c r="EL122" s="235">
        <f t="shared" ref="EL122" si="361">EK122/EI122</f>
        <v>0.89706845022250092</v>
      </c>
      <c r="EM122" s="165">
        <f>EM116+EM105+EM93+EM92+EM90+EM89+EM88+EM75+EM71+EM40+EM37+EM84+EM94+EM76+EM106+EM67+EM96+EM85+EM55+EM77+EM56+EM83+EM95+EM82+EM59+EM60+EM51+EM45+EM41+EM64+EM57+EM62</f>
        <v>439884.98</v>
      </c>
      <c r="EN122" s="165">
        <f>EN116+EN105+EN93+EN92+EN90+EN89+EN88+EN75+EN71+EN40+EN37+EN84+EN94+EN76+EN106+EN67+EN96+EN85+EN55+EN77+EN56+EN83+EN95+EN82+EN59+EN60+EN51+EN45+EN41+EN64+EN57+EN62</f>
        <v>1150684.9799999997</v>
      </c>
      <c r="EP122" s="165">
        <f>EP116+EP105+EP93+EP92+EP90+EP89+EP88+EP75+EP71+EP40+EP37+EP84+EP94+EP76+EP106+EP67+EP96+EP85+EP55+EP77+EP56+EP83+EP95+EP82+EP59+EP60+EP51+EP45+EP41+EP64+EP57+EP62</f>
        <v>0</v>
      </c>
      <c r="EQ122" s="165">
        <f>EQ116+EQ105+EQ93+EQ92+EQ90+EQ89+EQ88+EQ75+EQ71+EQ40+EQ37+EQ84+EQ94+EQ76+EQ106+EQ67+EQ96+EQ85+EQ55+EQ77+EQ56+EQ83+EQ95+EQ82+EQ59+EQ60+EQ51+EQ45+EQ41+EQ64+EQ57+EQ62</f>
        <v>1150684.9799999997</v>
      </c>
      <c r="ES122" s="165">
        <f>ES116+ES105+ES93+ES92+ES90+ES89+ES88+ES75+ES71+ES40+ES37+ES84+ES94+ES76+ES106+ES67+ES96+ES85+ES55+ES77+ES56+ES83+ES95+ES82+ES59+ES60+ES51+ES45+ES41+ES64+ES57+ES62</f>
        <v>0</v>
      </c>
      <c r="ET122" s="165">
        <f>ET116+ET105+ET93+ET92+ET90+ET89+ET88+ET75+ET71+ET40+ET37+ET84+ET94+ET76+ET106+ET67+ET96+ET85+ET55+ET77+ET56+ET83+ET95+ET82+ET59+ET60+ET51+ET45+ET41+ET64+ET57+ET62</f>
        <v>1150684.9799999997</v>
      </c>
      <c r="EV122" s="165">
        <f>EV116+EV105+EV93+EV92+EV90+EV89+EV88+EV75+EV71+EV40+EV37+EV84+EV94+EV76+EV106+EV67+EV96+EV85+EV55+EV77+EV56+EV83+EV95+EV82+EV59+EV60+EV51+EV45+EV41+EV64+EV57+EV62</f>
        <v>5785</v>
      </c>
      <c r="EW122" s="165">
        <f>EW116+EW105+EW93+EW92+EW90+EW89+EW88+EW75+EW71+EW40+EW37+EW84+EW94+EW76+EW106+EW67+EW96+EW85+EW55+EW77+EW56+EW83+EW95+EW82+EW59+EW60+EW51+EW45+EW41+EW64+EW57+EW62</f>
        <v>1156469.9799999997</v>
      </c>
      <c r="EY122" s="165">
        <f>EY116+EY105+EY93+EY92+EY90+EY89+EY88+EY75+EY71+EY40+EY37+EY84+EY94+EY76+EY106+EY67+EY96+EY85+EY55+EY77+EY56+EY83+EY95+EY82+EY59+EY60+EY51+EY45+EY41+EY64+EY57+EY62</f>
        <v>0</v>
      </c>
      <c r="EZ122" s="166">
        <f>EZ116+EZ105+EZ93+EZ92+EZ90+EZ89+EZ88+EZ75+EZ71+EZ40+EZ37+EZ84+EZ94+EZ76+EZ106+EZ67+EZ96+EZ85+EZ55+EZ77+EZ56+EZ83+EZ95+EZ82+EZ59+EZ60+EZ51+EZ45+EZ41+EZ64+EZ57+EZ62</f>
        <v>1156469.9799999997</v>
      </c>
      <c r="FB122" s="166">
        <f>FB116+FB105+FB93+FB92+FB90+FB89+FB88+FB75+FB71+FB40+FB37+FB84+FB94+FB76+FB106+FB67+FB96+FB85+FB55+FB77+FB56+FB83+FB95+FB82+FB59+FB60+FB51+FB45+FB41+FB48+FB62+FB64+FB57+FB53+FB91</f>
        <v>869676.8600000001</v>
      </c>
      <c r="FD122" s="165">
        <f>FD116+FD105+FD93+FD92+FD90+FD89+FD88+FD75+FD71+FD40+FD37+FD84+FD94+FD76+FD106+FD67+FD96+FD85+FD55+FD77+FD56+FD83+FD95+FD82+FD59+FD60+FD51+FD45+FD41+FD48+FD64+FD62+FD57+FD53</f>
        <v>909000</v>
      </c>
      <c r="FE122" s="235">
        <f t="shared" ref="FE122" si="362">FD122/FB122</f>
        <v>1.0452158057879106</v>
      </c>
    </row>
    <row r="123" spans="1:161" ht="16.5" thickTop="1" thickBot="1">
      <c r="AF123" s="182"/>
      <c r="AJ123" s="182"/>
      <c r="BS123" s="15"/>
      <c r="BV123" s="15"/>
      <c r="BY123" s="15"/>
      <c r="BZ123" s="145"/>
      <c r="CB123" s="15"/>
      <c r="CE123" s="15"/>
      <c r="CH123" s="15"/>
      <c r="CK123" s="15"/>
      <c r="CN123" s="15"/>
      <c r="CV123" s="15"/>
      <c r="CY123" s="15"/>
      <c r="DB123" s="15"/>
      <c r="DE123" s="15"/>
      <c r="DH123" s="15"/>
      <c r="DK123" s="15"/>
      <c r="DN123" s="15"/>
      <c r="DQ123" s="15"/>
      <c r="DX123" s="15"/>
      <c r="EA123" s="15"/>
      <c r="ED123" s="15"/>
      <c r="EG123" s="15"/>
      <c r="EN123" s="15"/>
      <c r="EQ123" s="15"/>
      <c r="ET123" s="15"/>
      <c r="EW123" s="15"/>
      <c r="EZ123" s="15"/>
    </row>
    <row r="124" spans="1:161" ht="15.75" thickBot="1">
      <c r="A124" s="133"/>
      <c r="B124" s="133"/>
      <c r="C124" s="133" t="s">
        <v>385</v>
      </c>
      <c r="D124" s="134">
        <f>D22+D35+D99+D122</f>
        <v>5707000</v>
      </c>
      <c r="E124" s="135"/>
      <c r="F124" s="134">
        <f>F22+F35+F99+F122</f>
        <v>5936574.3399999999</v>
      </c>
      <c r="G124" s="135"/>
      <c r="H124" s="133"/>
      <c r="I124" s="134">
        <f>I22+I35+I99+I122</f>
        <v>7115505.2846666668</v>
      </c>
      <c r="J124" s="133"/>
      <c r="K124" s="136"/>
      <c r="L124" s="174">
        <f>L22+L35+L99+L122</f>
        <v>5291000</v>
      </c>
      <c r="M124" s="137">
        <f>L124/F124-1</f>
        <v>-0.10874526334997425</v>
      </c>
      <c r="N124" s="137">
        <f>L124/I124-1</f>
        <v>-0.25641261044360786</v>
      </c>
      <c r="P124" s="134">
        <f>P22+P35+P99+P122</f>
        <v>4956950</v>
      </c>
      <c r="Q124" s="149"/>
      <c r="R124" s="143">
        <f>P124-L124</f>
        <v>-334050</v>
      </c>
      <c r="U124" s="174">
        <f>U22+U35+U99+U122</f>
        <v>5140800</v>
      </c>
      <c r="X124" s="134">
        <f>X22+X35+X99+X122</f>
        <v>5620550</v>
      </c>
      <c r="Z124" s="134">
        <f>Z22+Z35+Z99+Z122</f>
        <v>5926760</v>
      </c>
      <c r="AD124" s="134">
        <f>AD22+AD35+AD99+AD122</f>
        <v>5990340</v>
      </c>
      <c r="AF124" s="182">
        <f t="shared" ref="AF124" si="363">AD124-Z124</f>
        <v>63580</v>
      </c>
      <c r="AH124" s="134">
        <f>AH22+AH35+AH99+AH122</f>
        <v>6235240</v>
      </c>
      <c r="AJ124" s="182">
        <f t="shared" ref="AJ124" si="364">AH124-AD124</f>
        <v>244900</v>
      </c>
      <c r="AL124" s="136">
        <f>AL22+AL35+AL99+AL122</f>
        <v>6200517.1000000006</v>
      </c>
      <c r="AN124" s="136">
        <f>AN22+AN35+AN99+AN122</f>
        <v>4392000</v>
      </c>
      <c r="AO124" s="17">
        <f t="shared" ref="AO124" si="365">AN124/L124-1</f>
        <v>-0.16991116991116995</v>
      </c>
      <c r="AP124" s="17">
        <f t="shared" ref="AP124" si="366">AN124/AH124-1</f>
        <v>-0.29561652799250715</v>
      </c>
      <c r="AQ124" s="17">
        <f t="shared" ref="AQ124" si="367">AN124/AL124-1</f>
        <v>-0.29167198006759798</v>
      </c>
      <c r="AZ124" s="136">
        <f>AZ22+AZ35+AZ99+AZ122</f>
        <v>211541.07</v>
      </c>
      <c r="BA124" s="136">
        <f>BA22+BA35+BA99+BA122</f>
        <v>4603541.07</v>
      </c>
      <c r="BC124" s="136">
        <f>BC22+BC35+BC99+BC122</f>
        <v>0</v>
      </c>
      <c r="BD124" s="136">
        <f>BD22+BD35+BD99+BD122</f>
        <v>4603541.07</v>
      </c>
      <c r="BF124" s="136">
        <f>BF22+BF35+BF99+BF122</f>
        <v>49297.26</v>
      </c>
      <c r="BG124" s="136">
        <f>BG22+BG35+BG99+BG122</f>
        <v>4652838.33</v>
      </c>
      <c r="BI124" s="136">
        <f>BI22+BI35+BI99+BI122</f>
        <v>1092487.9100000001</v>
      </c>
      <c r="BJ124" s="136">
        <f>BJ22+BJ35+BJ99+BJ122</f>
        <v>5745326.2400000002</v>
      </c>
      <c r="BL124" s="136">
        <f>BL22+BL35+BL99+BL122</f>
        <v>5905051.04</v>
      </c>
      <c r="BM124" s="241">
        <f>BL124/BJ124</f>
        <v>1.0278008233697795</v>
      </c>
      <c r="BO124" s="136">
        <f>BO22+BO35+BO99+BO122</f>
        <v>7206500</v>
      </c>
      <c r="BP124" s="241">
        <f>BO124/BL124</f>
        <v>1.2203958867051554</v>
      </c>
      <c r="BR124" s="136">
        <f>BR22+BR35+BR99+BR122</f>
        <v>170366.07</v>
      </c>
      <c r="BS124" s="136">
        <f>BS22+BS35+BS99+BS122</f>
        <v>7376866.0700000003</v>
      </c>
      <c r="BU124" s="136">
        <f>BU22+BU35+BU99+BU122</f>
        <v>168974</v>
      </c>
      <c r="BV124" s="136">
        <f>BV22+BV35+BV99+BV122</f>
        <v>7545840.0700000003</v>
      </c>
      <c r="BX124" s="136">
        <f>BX22+BX35+BX99+BX122</f>
        <v>241888.89</v>
      </c>
      <c r="BY124" s="136">
        <f>BY22+BY35+BY99+BY122</f>
        <v>7787728.96</v>
      </c>
      <c r="BZ124" s="145"/>
      <c r="CA124" s="333">
        <f>CA22+CA35+CA99+CA122</f>
        <v>0</v>
      </c>
      <c r="CB124" s="136">
        <f>CB22+CB35+CB99+CB122</f>
        <v>7787728.96</v>
      </c>
      <c r="CD124" s="136">
        <f>CD22+CD35+CD99+CD122</f>
        <v>152000</v>
      </c>
      <c r="CE124" s="136">
        <f>CE22+CE35+CE99+CE122</f>
        <v>7939728.96</v>
      </c>
      <c r="CG124" s="136">
        <f>CG22+CG35+CG99+CG122</f>
        <v>0</v>
      </c>
      <c r="CH124" s="136">
        <f>CH22+CH35+CH99+CH122</f>
        <v>7939728.96</v>
      </c>
      <c r="CJ124" s="136">
        <f>CJ22+CJ35+CJ99+CJ122</f>
        <v>102500</v>
      </c>
      <c r="CK124" s="136">
        <f>CK22+CK35+CK99+CK122</f>
        <v>8042228.96</v>
      </c>
      <c r="CM124" s="136">
        <f>CM22+CM35+CM99+CM122</f>
        <v>-241741.08</v>
      </c>
      <c r="CN124" s="136">
        <f>CN22+CN35+CN99+CN122</f>
        <v>7800487.8799999999</v>
      </c>
      <c r="CP124" s="136">
        <f>CP22+CP35+CP99+CP122</f>
        <v>7595604.9400000004</v>
      </c>
      <c r="CR124" s="136">
        <f>CR22+CR35+CR99+CR122</f>
        <v>7036388.8899999997</v>
      </c>
      <c r="CS124" s="241">
        <f>CR124/CP124</f>
        <v>0.92637636443477267</v>
      </c>
      <c r="CU124" s="136">
        <f>CU22+CU35+CU99+CU122</f>
        <v>0</v>
      </c>
      <c r="CV124" s="136">
        <f>CV22+CV35+CV99+CV122</f>
        <v>7036388.8899999997</v>
      </c>
      <c r="CX124" s="136">
        <f>CX22+CX35+CX99+CX122</f>
        <v>142761</v>
      </c>
      <c r="CY124" s="136">
        <f>CY22+CY35+CY99+CY122</f>
        <v>7179149.8899999997</v>
      </c>
      <c r="DA124" s="136">
        <f>DA22+DA35+DA99+DA122</f>
        <v>1245134</v>
      </c>
      <c r="DB124" s="136">
        <f>DB22+DB35+DB99+DB122</f>
        <v>8424283.8900000006</v>
      </c>
      <c r="DD124" s="136">
        <f>DD22+DD35+DD99+DD122</f>
        <v>138000</v>
      </c>
      <c r="DE124" s="136">
        <f>DE22+DE35+DE99+DE122</f>
        <v>8562283.8900000006</v>
      </c>
      <c r="DG124" s="136">
        <f>DG22+DG35+DG99+DG122</f>
        <v>177000</v>
      </c>
      <c r="DH124" s="136">
        <f>DH22+DH35+DH99+DH122</f>
        <v>8739283.8900000006</v>
      </c>
      <c r="DJ124" s="136">
        <f>DJ22+DJ35+DJ99+DJ122</f>
        <v>135000</v>
      </c>
      <c r="DK124" s="136">
        <f>DK22+DK35+DK99+DK122</f>
        <v>8874283.8900000006</v>
      </c>
      <c r="DM124" s="136">
        <f>DM22+DM35+DM99+DM122</f>
        <v>-81700</v>
      </c>
      <c r="DN124" s="136">
        <f>DN22+DN35+DN99+DN122</f>
        <v>8792583.8900000006</v>
      </c>
      <c r="DP124" s="136">
        <f>DP22+DP35+DP99+DP122</f>
        <v>0</v>
      </c>
      <c r="DQ124" s="136">
        <f>DQ22+DQ35+DQ99+DQ122</f>
        <v>8792041.8900000006</v>
      </c>
      <c r="DS124" s="136">
        <f>DS22+DS35+DS99+DS122</f>
        <v>8910928.7300000004</v>
      </c>
      <c r="DU124" s="136">
        <f>DU22+DU35+DU99+DU122</f>
        <v>7413100</v>
      </c>
      <c r="DW124" s="136">
        <f>DW22+DW35+DW99+DW122</f>
        <v>63080</v>
      </c>
      <c r="DX124" s="136">
        <f>DX22+DX35+DX99+DX122</f>
        <v>7476180</v>
      </c>
      <c r="DZ124" s="136" t="e">
        <f>DZ22+DZ35+DZ99+DZ122</f>
        <v>#REF!</v>
      </c>
      <c r="EA124" s="136" t="e">
        <f>EA22+EA35+EA99+EA122</f>
        <v>#REF!</v>
      </c>
      <c r="EC124" s="136" t="e">
        <f>EC22+EC35+EC99+EC122</f>
        <v>#REF!</v>
      </c>
      <c r="ED124" s="136" t="e">
        <f>ED22+ED35+ED99+ED122</f>
        <v>#REF!</v>
      </c>
      <c r="EF124" s="136">
        <f>EF22+EF35+EF99+EF122</f>
        <v>-67539</v>
      </c>
      <c r="EG124" s="136">
        <f>EG22+EG35+EG99+EG122</f>
        <v>7807934</v>
      </c>
      <c r="EI124" s="136">
        <f>EI22+EI35+EI99+EI122</f>
        <v>7705649.9400000004</v>
      </c>
      <c r="EK124" s="136">
        <f>EK22+EK35+EK99+EK122</f>
        <v>7536900</v>
      </c>
      <c r="EL124" s="235">
        <f t="shared" ref="EL124" si="368">EK124/EI124</f>
        <v>0.97810049232524565</v>
      </c>
      <c r="EM124" s="136">
        <f>EM22+EM35+EM99+EM122</f>
        <v>19598449.530000001</v>
      </c>
      <c r="EN124" s="136">
        <f>EN22+EN35+EN99+EN122</f>
        <v>27135349.530000001</v>
      </c>
      <c r="EP124" s="136">
        <f>EP22+EP35+EP99+EP122</f>
        <v>0</v>
      </c>
      <c r="EQ124" s="136">
        <f>EQ22+EQ35+EQ99+EQ122</f>
        <v>27135349.530000001</v>
      </c>
      <c r="ES124" s="136">
        <f>ES22+ES35+ES99+ES122</f>
        <v>-1850000</v>
      </c>
      <c r="ET124" s="136">
        <f>ET22+ET35+ET99+ET122</f>
        <v>25285349.530000001</v>
      </c>
      <c r="EV124" s="136">
        <f>EV22+EV35+EV99+EV122</f>
        <v>180636</v>
      </c>
      <c r="EW124" s="136">
        <f>EW22+EW35+EW99+EW122</f>
        <v>25465985.530000001</v>
      </c>
      <c r="EY124" s="136">
        <f>EY22+EY35+EY99+EY122</f>
        <v>-52180</v>
      </c>
      <c r="EZ124" s="134">
        <f>EZ22+EZ35+EZ99+EZ122</f>
        <v>25413805.530000001</v>
      </c>
      <c r="FB124" s="134">
        <f>FB22+FB35+FB99+FB122</f>
        <v>15322828.98</v>
      </c>
      <c r="FD124" s="136">
        <f>FD22+FD35+FD99+FD122</f>
        <v>18762804.27</v>
      </c>
      <c r="FE124" s="235">
        <f t="shared" ref="FE124" si="369">FD124/FB124</f>
        <v>1.2245000120075737</v>
      </c>
    </row>
    <row r="125" spans="1:161" ht="15.75" thickTop="1">
      <c r="AB125" s="118">
        <f>SUM(AB5:AB124)</f>
        <v>306210</v>
      </c>
      <c r="AC125" s="118"/>
      <c r="AE125" s="118"/>
      <c r="AF125" s="183">
        <f>SUM(AF5:AF121)</f>
        <v>63580</v>
      </c>
      <c r="AG125" s="118"/>
      <c r="AI125" s="118"/>
      <c r="AJ125" s="183">
        <f>SUM(AJ5:AJ121)</f>
        <v>244900</v>
      </c>
      <c r="BS125" s="15"/>
      <c r="BV125" s="15"/>
      <c r="BY125" s="15"/>
      <c r="BZ125" s="145"/>
      <c r="CB125" s="15"/>
      <c r="CE125" s="15"/>
      <c r="CH125" s="15"/>
      <c r="CK125" s="15"/>
      <c r="CN125" s="15"/>
      <c r="CV125" s="15"/>
      <c r="CY125" s="15"/>
      <c r="DB125" s="15"/>
      <c r="DE125" s="15"/>
      <c r="DH125" s="15"/>
      <c r="DK125" s="15"/>
      <c r="DN125" s="15"/>
      <c r="DQ125" s="15"/>
      <c r="DX125" s="15"/>
      <c r="EA125" s="15"/>
      <c r="ED125" s="15"/>
      <c r="EG125" s="15"/>
      <c r="EN125" s="15"/>
      <c r="EQ125" s="15"/>
      <c r="ET125" s="15"/>
      <c r="EW125" s="15"/>
      <c r="EZ125" s="15"/>
    </row>
    <row r="126" spans="1:161" ht="15.75" thickBot="1">
      <c r="C126" t="s">
        <v>459</v>
      </c>
      <c r="L126" s="15">
        <f>L5+L6+L7+L8+L9+L10+L16+L18+L21</f>
        <v>4764000</v>
      </c>
      <c r="AH126" s="15">
        <f>AH5+AH6+AH7+AH8+AH9+AH10+AH16+AH18+AH21</f>
        <v>4408100</v>
      </c>
      <c r="AL126" s="15">
        <f>AL5+AL6+AL7+AL8+AL9+AL10+AL16+AL18+AL21</f>
        <v>4406753.6599999992</v>
      </c>
      <c r="AN126" s="15">
        <f>AN5+AN6+AN7+AN8+AN9+AN10+AN16+AN18+AN21</f>
        <v>3892000</v>
      </c>
      <c r="AO126" s="17">
        <f t="shared" ref="AO126" si="370">AN126/L126-1</f>
        <v>-0.18303946263644</v>
      </c>
      <c r="AP126" s="17">
        <f t="shared" ref="AP126" si="371">AN126/AH126-1</f>
        <v>-0.11707992105442255</v>
      </c>
      <c r="AQ126" s="17">
        <f t="shared" ref="AQ126" si="372">AN126/AL126-1</f>
        <v>-0.11681017359159562</v>
      </c>
      <c r="AZ126" s="15">
        <f>AZ5+AZ6+AZ7+AZ8+AZ9+AZ10+AZ16+AZ18+AZ21</f>
        <v>0</v>
      </c>
      <c r="BA126" s="15">
        <f>BA5+BA6+BA7+BA8+BA9+BA10+BA16+BA18+BA21</f>
        <v>3892000</v>
      </c>
      <c r="BD126" s="15">
        <f>BD5+BD6+BD7+BD8+BD9+BD10+BD16+BD18+BD21</f>
        <v>3892000</v>
      </c>
      <c r="BG126" s="15">
        <f>BG5+BG6+BG7+BG8+BG9+BG10+BG16+BG18+BG21</f>
        <v>3892000</v>
      </c>
      <c r="BJ126" s="15">
        <f>BJ5+BJ6+BJ7+BJ8+BJ9+BJ10+BJ16+BJ18+BJ21</f>
        <v>4647000</v>
      </c>
      <c r="BL126" s="15">
        <f>BL5+BL6+BL7+BL8+BL9+BL10+BL16+BL18+BL21</f>
        <v>4834539.07</v>
      </c>
      <c r="BM126" s="235">
        <f t="shared" ref="BM126" si="373">BL126/BJ126</f>
        <v>1.0403570195825265</v>
      </c>
      <c r="BO126" s="15">
        <f>BO5+BO6+BO7+BO8+BO9+BO10+BO16+BO18+BO21</f>
        <v>5167000</v>
      </c>
      <c r="BP126" s="242">
        <f>BO126/BL126</f>
        <v>1.0687678649786978</v>
      </c>
      <c r="BR126" s="15">
        <f>BR5+BR6+BR7+BR8+BR9+BR10+BR16+BR18+BR21</f>
        <v>82000</v>
      </c>
      <c r="BS126" s="15">
        <f>BS5+BS6+BS7+BS8+BS9+BS10+BS16+BS18+BS21</f>
        <v>5249000</v>
      </c>
      <c r="BU126" s="15">
        <f>BU5+BU6+BU7+BU8+BU9+BU10+BU16+BU18+BU21</f>
        <v>100000</v>
      </c>
      <c r="BV126" s="15">
        <f>BV5+BV6+BV7+BV8+BV9+BV10+BV16+BV18+BV21</f>
        <v>5349000</v>
      </c>
      <c r="BX126" s="15">
        <f>BX5+BX6+BX7+BX8+BX9+BX10+BX16+BX18+BX21</f>
        <v>0</v>
      </c>
      <c r="BY126" s="15">
        <f>BY5+BY6+BY7+BY8+BY9+BY10+BY16+BY18+BY21</f>
        <v>5349000</v>
      </c>
      <c r="BZ126" s="145"/>
      <c r="CA126" s="15">
        <f>CA5+CA6+CA7+CA8+CA9+CA10+CA16+CA18+CA21</f>
        <v>0</v>
      </c>
      <c r="CB126" s="15">
        <f>CB5+CB6+CB7+CB8+CB9+CB10+CB16+CB18+CB21</f>
        <v>5349000</v>
      </c>
      <c r="CD126" s="15">
        <f>CD5+CD6+CD7+CD8+CD9+CD10+CD16+CD18+CD21</f>
        <v>21000</v>
      </c>
      <c r="CE126" s="15">
        <f>CE5+CE6+CE7+CE8+CE9+CE10+CE16+CE18+CE21</f>
        <v>5370000</v>
      </c>
      <c r="CG126" s="15">
        <f>CG5+CG6+CG7+CG8+CG9+CG10+CG16+CG18+CG21</f>
        <v>0</v>
      </c>
      <c r="CH126" s="15">
        <f>CH5+CH6+CH7+CH8+CH9+CH10+CH16+CH18+CH21</f>
        <v>5370000</v>
      </c>
      <c r="CJ126" s="15">
        <f>CJ5+CJ6+CJ7+CJ8+CJ9+CJ10+CJ16+CJ18+CJ21</f>
        <v>81000</v>
      </c>
      <c r="CK126" s="15">
        <f>CK5+CK6+CK7+CK8+CK9+CK10+CK16+CK18+CK21</f>
        <v>5451000</v>
      </c>
      <c r="CM126" s="15">
        <f>CM5+CM6+CM7+CM8+CM9+CM10+CM16+CM18+CM21</f>
        <v>0</v>
      </c>
      <c r="CN126" s="15">
        <f>CN5+CN6+CN7+CN8+CN9+CN10+CN16+CN18+CN21</f>
        <v>5451000</v>
      </c>
      <c r="CP126" s="15">
        <f>CP5+CP6+CP7+CP8+CP9+CP10+CP16+CP18+CP21</f>
        <v>5416870.6100000003</v>
      </c>
      <c r="CR126" s="15">
        <f>CR5+CR6+CR7+CR8+CR9+CR10+CR16+CR18+CR21</f>
        <v>5825000</v>
      </c>
      <c r="CS126" s="242">
        <f>CR126/CP126</f>
        <v>1.0753441275201512</v>
      </c>
      <c r="CU126" s="15">
        <f>CU5+CU6+CU7+CU8+CU9+CU10+CU16+CU18+CU21</f>
        <v>0</v>
      </c>
      <c r="CV126" s="15">
        <f>CV5+CV6+CV7+CV8+CV9+CV10+CV16+CV18+CV21</f>
        <v>5825000</v>
      </c>
      <c r="CX126" s="15">
        <f>CX5+CX6+CX7+CX8+CX9+CX10+CX16+CX18+CX21</f>
        <v>0</v>
      </c>
      <c r="CY126" s="15">
        <f>CY5+CY6+CY7+CY8+CY9+CY10+CY16+CY18+CY21</f>
        <v>5825000</v>
      </c>
      <c r="DA126" s="15">
        <f>DA5+DA6+DA7+DA8+DA9+DA10+DA16+DA18+DA21</f>
        <v>0</v>
      </c>
      <c r="DB126" s="15">
        <f>DB5+DB6+DB7+DB8+DB9+DB10+DB16+DB18+DB21</f>
        <v>5825000</v>
      </c>
      <c r="DD126" s="15">
        <f>DD5+DD6+DD7+DD8+DD9+DD10+DD16+DD18+DD21</f>
        <v>0</v>
      </c>
      <c r="DE126" s="15">
        <f>DE5+DE6+DE7+DE8+DE9+DE10+DE16+DE18+DE21</f>
        <v>5825000</v>
      </c>
      <c r="DG126" s="15">
        <f>DG5+DG6+DG7+DG8+DG9+DG10+DG16+DG18+DG21</f>
        <v>0</v>
      </c>
      <c r="DH126" s="15">
        <f>DH5+DH6+DH7+DH8+DH9+DH10+DH16+DH18+DH21</f>
        <v>5825000</v>
      </c>
      <c r="DJ126" s="15">
        <f>DJ5+DJ6+DJ7+DJ8+DJ9+DJ10+DJ16+DJ18+DJ21</f>
        <v>105000</v>
      </c>
      <c r="DK126" s="15">
        <f>DK5+DK6+DK7+DK8+DK9+DK10+DK16+DK18+DK21</f>
        <v>5930000</v>
      </c>
      <c r="DM126" s="15">
        <f>DM5+DM6+DM7+DM8+DM9+DM10+DM16+DM18+DM21</f>
        <v>-97148</v>
      </c>
      <c r="DN126" s="15">
        <f>DN5+DN6+DN7+DN8+DN9+DN10+DN16+DN18+DN21</f>
        <v>5832852</v>
      </c>
      <c r="DP126" s="15">
        <f>DP5+DP6+DP7+DP8+DP9+DP10+DP16+DP18+DP21</f>
        <v>0</v>
      </c>
      <c r="DQ126" s="15">
        <f>DQ5+DQ6+DQ7+DQ8+DQ9+DQ10+DQ16+DQ18+DQ21</f>
        <v>5832852</v>
      </c>
      <c r="DS126" s="15">
        <f>DS5+DS6+DS7+DS8+DS9+DS10+DS16+DS18+DS21</f>
        <v>5963238.3699999992</v>
      </c>
      <c r="DU126" s="15">
        <f>DU5+DU6+DU7+DU8+DU9+DU10+DU16+DU18+DU21</f>
        <v>6412000</v>
      </c>
      <c r="DW126" s="15">
        <f>DW5+DW6+DW7+DW8+DW9+DW10+DW16+DW18+DW21</f>
        <v>63080</v>
      </c>
      <c r="DX126" s="15">
        <f>DX5+DX6+DX7+DX8+DX9+DX10+DX16+DX18+DX21</f>
        <v>6475080</v>
      </c>
      <c r="DZ126" s="15">
        <f>DZ5+DZ6+DZ7+DZ8+DZ9+DZ10+DZ16+DZ18+DZ21</f>
        <v>0</v>
      </c>
      <c r="EA126" s="15">
        <f>EA5+EA6+EA7+EA8+EA9+EA10+EA16+EA18+EA21</f>
        <v>6475080</v>
      </c>
      <c r="EC126" s="15">
        <f>EC5+EC6+EC7+EC8+EC9+EC10+EC16+EC18+EC21</f>
        <v>0</v>
      </c>
      <c r="ED126" s="15">
        <f>ED5+ED6+ED7+ED8+ED9+ED10+ED16+ED18+ED21</f>
        <v>6475080</v>
      </c>
      <c r="EF126" s="15">
        <f>EF5+EF6+EF7+EF8+EF9+EF10+EF16+EF18+EF21</f>
        <v>-251000</v>
      </c>
      <c r="EG126" s="15">
        <f>EG5+EG6+EG7+EG8+EG9+EG10+EG16+EG18+EG21</f>
        <v>6224080</v>
      </c>
      <c r="EI126" s="15">
        <f>EI5+EI6+EI7+EI8+EI9+EI10+EI16+EI18+EI21+EI19+EI20</f>
        <v>6130814.8300000001</v>
      </c>
      <c r="EK126" s="15">
        <f>EK5+EK6+EK7+EK8+EK9+EK10+EK16+EK18+EK21+EK19+EK20</f>
        <v>6314000</v>
      </c>
      <c r="EL126" s="235">
        <f t="shared" ref="EL126" si="374">EK126/EI126</f>
        <v>1.029879416534262</v>
      </c>
      <c r="EM126" s="15">
        <f>EM5+EM6+EM7+EM8+EM9+EM10+EM16+EM18+EM21+EM19+EM20</f>
        <v>5000</v>
      </c>
      <c r="EN126" s="15">
        <f>EN5+EN6+EN7+EN8+EN9+EN10+EN16+EN18+EN21+EN19+EN20</f>
        <v>6319000</v>
      </c>
      <c r="EP126" s="15">
        <f>EP5+EP6+EP7+EP8+EP9+EP10+EP16+EP18+EP21+EP19+EP20</f>
        <v>0</v>
      </c>
      <c r="EQ126" s="15">
        <f>EQ5+EQ6+EQ7+EQ8+EQ9+EQ10+EQ16+EQ18+EQ21+EQ19+EQ20</f>
        <v>6319000</v>
      </c>
      <c r="ES126" s="15">
        <f>ES5+ES6+ES7+ES8+ES9+ES10+ES16+ES18+ES21+ES19+ES20</f>
        <v>0</v>
      </c>
      <c r="ET126" s="15">
        <f>ET5+ET6+ET7+ET8+ET9+ET10+ET16+ET18+ET21+ET19+ET20</f>
        <v>6319000</v>
      </c>
      <c r="EV126" s="15">
        <f>EV5+EV6+EV7+EV8+EV9+EV10+EV16+EV18+EV21+EV19+EV20</f>
        <v>150000</v>
      </c>
      <c r="EW126" s="15">
        <f>EW5+EW6+EW7+EW8+EW9+EW10+EW16+EW18+EW21+EW19+EW20</f>
        <v>6469000</v>
      </c>
      <c r="EY126" s="15">
        <f>EY5+EY6+EY7+EY8+EY9+EY10+EY16+EY18+EY21+EY19+EY20</f>
        <v>0</v>
      </c>
      <c r="EZ126" s="189">
        <f>EZ5+EZ6+EZ7+EZ8+EZ9+EZ10+EZ16+EZ18+EZ21+EZ19+EZ20</f>
        <v>6469000</v>
      </c>
      <c r="FB126" s="189">
        <f>FB5+FB6+FB7+FB8+FB9+FB10+FB16+FB18+FB21+FB19+FB20</f>
        <v>6561721.7600000007</v>
      </c>
      <c r="FD126" s="15">
        <f>FD5+FD6+FD7+FD8+FD9+FD10+FD16+FD18+FD21+FD19+FD20</f>
        <v>6925000</v>
      </c>
      <c r="FE126" s="235">
        <f t="shared" ref="FE126" si="375">FD126/FB126</f>
        <v>1.0553632496602536</v>
      </c>
    </row>
  </sheetData>
  <autoFilter ref="A4:ER22" xr:uid="{00000000-0001-0000-0B00-000000000000}"/>
  <mergeCells count="5">
    <mergeCell ref="A1:H1"/>
    <mergeCell ref="A120:C120"/>
    <mergeCell ref="D2:H2"/>
    <mergeCell ref="AD2:AF3"/>
    <mergeCell ref="AH2:AJ3"/>
  </mergeCells>
  <phoneticPr fontId="37" type="noConversion"/>
  <pageMargins left="0.17" right="0.15748031496062992" top="0.19685039370078741" bottom="0.19685039370078741" header="0.15748031496062992" footer="0.15748031496062992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HF359"/>
  <sheetViews>
    <sheetView zoomScaleNormal="100" workbookViewId="0">
      <pane xSplit="11" ySplit="4" topLeftCell="HC55" activePane="bottomRight" state="frozen"/>
      <selection pane="topRight" activeCell="L1" sqref="L1"/>
      <selection pane="bottomLeft" activeCell="A5" sqref="A5"/>
      <selection pane="bottomRight" activeCell="HE71" sqref="HE71"/>
    </sheetView>
  </sheetViews>
  <sheetFormatPr defaultRowHeight="15" outlineLevelRow="3" outlineLevelCol="3"/>
  <cols>
    <col min="1" max="1" width="8.28515625" bestFit="1" customWidth="1"/>
    <col min="2" max="2" width="7.85546875" bestFit="1" customWidth="1"/>
    <col min="3" max="3" width="35.42578125" style="282" customWidth="1"/>
    <col min="4" max="4" width="11.85546875" style="15" hidden="1" customWidth="1" outlineLevel="1"/>
    <col min="5" max="5" width="8.28515625" style="35" hidden="1" customWidth="1" outlineLevel="1"/>
    <col min="6" max="6" width="11.5703125" style="15" hidden="1" customWidth="1" outlineLevel="1"/>
    <col min="7" max="7" width="8.28515625" style="35" hidden="1" customWidth="1" outlineLevel="1"/>
    <col min="8" max="9" width="12.7109375" style="15" hidden="1" customWidth="1" outlineLevel="1"/>
    <col min="10" max="10" width="5.42578125" hidden="1" customWidth="1" outlineLevel="1"/>
    <col min="11" max="11" width="9.140625" hidden="1" customWidth="1" outlineLevel="1"/>
    <col min="12" max="12" width="11.5703125" style="118" hidden="1" customWidth="1" outlineLevel="1" collapsed="1"/>
    <col min="13" max="13" width="10.5703125" hidden="1" customWidth="1" outlineLevel="2"/>
    <col min="14" max="14" width="9.140625" hidden="1" customWidth="1" outlineLevel="2"/>
    <col min="15" max="15" width="6.42578125" hidden="1" customWidth="1" outlineLevel="2"/>
    <col min="16" max="16" width="4.7109375" hidden="1" customWidth="1" outlineLevel="2"/>
    <col min="17" max="17" width="9.140625" style="118" hidden="1" customWidth="1" outlineLevel="2"/>
    <col min="18" max="18" width="9.140625" style="15" hidden="1" customWidth="1" outlineLevel="2"/>
    <col min="19" max="19" width="9.140625" style="118" hidden="1" customWidth="1" outlineLevel="2"/>
    <col min="20" max="21" width="9.140625" style="15" hidden="1" customWidth="1" outlineLevel="2"/>
    <col min="22" max="22" width="9.140625" style="140" hidden="1" customWidth="1" outlineLevel="2"/>
    <col min="23" max="24" width="2.5703125" hidden="1" customWidth="1" outlineLevel="2"/>
    <col min="25" max="26" width="9.140625" hidden="1" customWidth="1" outlineLevel="2"/>
    <col min="27" max="28" width="9.140625" style="118" hidden="1" customWidth="1" outlineLevel="2"/>
    <col min="29" max="29" width="9.140625" style="188" hidden="1" customWidth="1" outlineLevel="2"/>
    <col min="30" max="30" width="4.7109375" style="188" hidden="1" customWidth="1" outlineLevel="2"/>
    <col min="31" max="31" width="9.140625" style="118" hidden="1" customWidth="1" outlineLevel="1"/>
    <col min="32" max="32" width="8" hidden="1" customWidth="1" outlineLevel="1"/>
    <col min="33" max="33" width="4.7109375" hidden="1" customWidth="1" outlineLevel="1"/>
    <col min="34" max="34" width="11.42578125" hidden="1" customWidth="1" outlineLevel="1"/>
    <col min="35" max="35" width="9.140625" hidden="1" customWidth="1" outlineLevel="1"/>
    <col min="36" max="36" width="3.42578125" hidden="1" customWidth="1" outlineLevel="1"/>
    <col min="37" max="37" width="9.140625" style="118" hidden="1" customWidth="1" outlineLevel="1"/>
    <col min="38" max="38" width="9.140625" style="15" hidden="1" customWidth="1" outlineLevel="1"/>
    <col min="39" max="41" width="9.140625" hidden="1" customWidth="1" outlineLevel="1"/>
    <col min="42" max="42" width="9.140625" style="220" hidden="1" customWidth="1" outlineLevel="1"/>
    <col min="43" max="43" width="9.140625" hidden="1" customWidth="1" outlineLevel="1"/>
    <col min="44" max="46" width="9.140625" hidden="1" customWidth="1" outlineLevel="2"/>
    <col min="47" max="47" width="9.140625" style="15" hidden="1" customWidth="1" outlineLevel="2"/>
    <col min="48" max="51" width="9.140625" hidden="1" customWidth="1" outlineLevel="2"/>
    <col min="52" max="52" width="1.85546875" hidden="1" customWidth="1" outlineLevel="2"/>
    <col min="53" max="53" width="9.140625" style="15" hidden="1" customWidth="1" outlineLevel="2"/>
    <col min="54" max="54" width="9.140625" hidden="1" customWidth="1" outlineLevel="2"/>
    <col min="55" max="55" width="2.140625" hidden="1" customWidth="1" outlineLevel="2"/>
    <col min="56" max="57" width="9.140625" hidden="1" customWidth="1" outlineLevel="2"/>
    <col min="58" max="58" width="1.85546875" hidden="1" customWidth="1" outlineLevel="1"/>
    <col min="59" max="59" width="9.140625" hidden="1" customWidth="1" outlineLevel="1"/>
    <col min="60" max="60" width="9.28515625" hidden="1" customWidth="1" outlineLevel="1"/>
    <col min="61" max="61" width="1.85546875" hidden="1" customWidth="1" outlineLevel="1"/>
    <col min="62" max="62" width="12.42578125" style="15" hidden="1" customWidth="1" outlineLevel="1"/>
    <col min="63" max="63" width="7" style="234" hidden="1" customWidth="1" outlineLevel="1"/>
    <col min="64" max="64" width="2.5703125" style="234" hidden="1" customWidth="1" outlineLevel="1"/>
    <col min="65" max="65" width="9.85546875" hidden="1" customWidth="1" outlineLevel="1"/>
    <col min="66" max="67" width="7.7109375" style="234" hidden="1" customWidth="1" outlineLevel="1"/>
    <col min="68" max="68" width="4.140625" hidden="1" customWidth="1" outlineLevel="1"/>
    <col min="69" max="70" width="9.85546875" hidden="1" customWidth="1" outlineLevel="2"/>
    <col min="71" max="71" width="1.7109375" hidden="1" customWidth="1" outlineLevel="2"/>
    <col min="72" max="73" width="9.85546875" hidden="1" customWidth="1" outlineLevel="2"/>
    <col min="74" max="74" width="1.7109375" hidden="1" customWidth="1" outlineLevel="2"/>
    <col min="75" max="76" width="9.85546875" hidden="1" customWidth="1" outlineLevel="2"/>
    <col min="77" max="77" width="1.7109375" hidden="1" customWidth="1" outlineLevel="2"/>
    <col min="78" max="79" width="9.85546875" hidden="1" customWidth="1" outlineLevel="2"/>
    <col min="80" max="80" width="1.7109375" hidden="1" customWidth="1" outlineLevel="2"/>
    <col min="81" max="82" width="9.85546875" hidden="1" customWidth="1" outlineLevel="2"/>
    <col min="83" max="83" width="1.7109375" hidden="1" customWidth="1" outlineLevel="2"/>
    <col min="84" max="85" width="9.85546875" hidden="1" customWidth="1" outlineLevel="2"/>
    <col min="86" max="86" width="1.7109375" hidden="1" customWidth="1" outlineLevel="2"/>
    <col min="87" max="88" width="9.85546875" hidden="1" customWidth="1" outlineLevel="2"/>
    <col min="89" max="89" width="3.7109375" hidden="1" customWidth="1" outlineLevel="2"/>
    <col min="90" max="90" width="9.85546875" style="15" hidden="1" customWidth="1" outlineLevel="2"/>
    <col min="91" max="91" width="9.85546875" hidden="1" customWidth="1" outlineLevel="2"/>
    <col min="92" max="92" width="1.5703125" hidden="1" customWidth="1" outlineLevel="2"/>
    <col min="93" max="93" width="9.85546875" style="15" hidden="1" customWidth="1" outlineLevel="2"/>
    <col min="94" max="94" width="9.85546875" hidden="1" customWidth="1" outlineLevel="2"/>
    <col min="95" max="95" width="2.7109375" hidden="1" customWidth="1" outlineLevel="1"/>
    <col min="96" max="96" width="9.85546875" style="15" hidden="1" customWidth="1" outlineLevel="2"/>
    <col min="97" max="97" width="9.85546875" hidden="1" customWidth="1" outlineLevel="2"/>
    <col min="98" max="98" width="1.140625" hidden="1" customWidth="1" outlineLevel="2"/>
    <col min="99" max="99" width="9.85546875" style="15" hidden="1" customWidth="1" outlineLevel="2"/>
    <col min="100" max="100" width="9.85546875" hidden="1" customWidth="1" outlineLevel="2"/>
    <col min="101" max="101" width="3.140625" hidden="1" customWidth="1" outlineLevel="2"/>
    <col min="102" max="102" width="9.85546875" style="15" hidden="1" customWidth="1" outlineLevel="1"/>
    <col min="103" max="103" width="9.85546875" hidden="1" customWidth="1" outlineLevel="1"/>
    <col min="104" max="104" width="1.7109375" hidden="1" customWidth="1" outlineLevel="1"/>
    <col min="105" max="105" width="9.85546875" style="15" hidden="1" customWidth="1" outlineLevel="1"/>
    <col min="106" max="106" width="2.85546875" hidden="1" customWidth="1" outlineLevel="1"/>
    <col min="107" max="107" width="11.85546875" style="15" hidden="1" customWidth="1" outlineLevel="1"/>
    <col min="108" max="108" width="1.140625" hidden="1" customWidth="1" outlineLevel="1"/>
    <col min="109" max="109" width="9.140625" hidden="1" customWidth="1" outlineLevel="2"/>
    <col min="110" max="110" width="10.42578125" hidden="1" customWidth="1" outlineLevel="2"/>
    <col min="111" max="111" width="1.85546875" hidden="1" customWidth="1" outlineLevel="2"/>
    <col min="112" max="112" width="9.140625" hidden="1" customWidth="1" outlineLevel="2"/>
    <col min="113" max="113" width="10.42578125" hidden="1" customWidth="1" outlineLevel="2"/>
    <col min="114" max="114" width="2.5703125" hidden="1" customWidth="1" outlineLevel="2"/>
    <col min="115" max="115" width="9.140625" hidden="1" customWidth="1" outlineLevel="2"/>
    <col min="116" max="116" width="10.42578125" hidden="1" customWidth="1" outlineLevel="2"/>
    <col min="117" max="117" width="2.5703125" hidden="1" customWidth="1" outlineLevel="2"/>
    <col min="118" max="118" width="9.140625" hidden="1" customWidth="1" outlineLevel="2"/>
    <col min="119" max="119" width="10.42578125" hidden="1" customWidth="1" outlineLevel="2"/>
    <col min="120" max="120" width="4.140625" hidden="1" customWidth="1" outlineLevel="2"/>
    <col min="121" max="121" width="9.140625" hidden="1" customWidth="1" outlineLevel="2"/>
    <col min="122" max="122" width="10.42578125" hidden="1" customWidth="1" outlineLevel="3"/>
    <col min="123" max="123" width="4.140625" hidden="1" customWidth="1" outlineLevel="2"/>
    <col min="124" max="124" width="9.140625" hidden="1" customWidth="1" outlineLevel="2"/>
    <col min="125" max="125" width="10.42578125" hidden="1" customWidth="1" outlineLevel="2"/>
    <col min="126" max="127" width="9.140625" hidden="1" customWidth="1" outlineLevel="2"/>
    <col min="128" max="128" width="10.42578125" hidden="1" customWidth="1" outlineLevel="2"/>
    <col min="129" max="129" width="1.7109375" hidden="1" customWidth="1" outlineLevel="2"/>
    <col min="130" max="130" width="8" hidden="1" customWidth="1" outlineLevel="2"/>
    <col min="131" max="131" width="10.42578125" hidden="1" customWidth="1" outlineLevel="2"/>
    <col min="132" max="132" width="2.85546875" hidden="1" customWidth="1" outlineLevel="2"/>
    <col min="133" max="133" width="8.5703125" hidden="1" customWidth="1" outlineLevel="2"/>
    <col min="134" max="134" width="12.7109375" hidden="1" customWidth="1" outlineLevel="2"/>
    <col min="135" max="135" width="3.42578125" hidden="1" customWidth="1" outlineLevel="1"/>
    <col min="136" max="136" width="8.5703125" hidden="1" customWidth="1" outlineLevel="1"/>
    <col min="137" max="137" width="12.7109375" hidden="1" customWidth="1" outlineLevel="1"/>
    <col min="138" max="138" width="3.5703125" hidden="1" customWidth="1" outlineLevel="1"/>
    <col min="139" max="139" width="13.140625" style="15" hidden="1" customWidth="1" outlineLevel="1"/>
    <col min="140" max="140" width="4.85546875" hidden="1" customWidth="1" outlineLevel="1"/>
    <col min="141" max="141" width="10.140625" hidden="1" customWidth="1" outlineLevel="1"/>
    <col min="142" max="142" width="3.140625" hidden="1" customWidth="1" outlineLevel="1"/>
    <col min="143" max="143" width="8" hidden="1" customWidth="1" outlineLevel="2"/>
    <col min="144" max="144" width="10.42578125" hidden="1" customWidth="1" outlineLevel="2"/>
    <col min="145" max="145" width="3.85546875" hidden="1" customWidth="1" outlineLevel="1"/>
    <col min="146" max="146" width="9.140625" hidden="1" customWidth="1" outlineLevel="2"/>
    <col min="147" max="147" width="10.42578125" hidden="1" customWidth="1" outlineLevel="2"/>
    <col min="148" max="148" width="3.85546875" hidden="1" customWidth="1" outlineLevel="1"/>
    <col min="149" max="149" width="8" hidden="1" customWidth="1" outlineLevel="2"/>
    <col min="150" max="150" width="10.42578125" hidden="1" customWidth="1" outlineLevel="2"/>
    <col min="151" max="151" width="1.85546875" hidden="1" customWidth="1" outlineLevel="1"/>
    <col min="152" max="152" width="9.42578125" style="15" hidden="1" customWidth="1" outlineLevel="2"/>
    <col min="153" max="153" width="10.42578125" hidden="1" customWidth="1" outlineLevel="2"/>
    <col min="154" max="154" width="4.140625" hidden="1" customWidth="1" outlineLevel="1"/>
    <col min="155" max="155" width="9.42578125" style="15" hidden="1" customWidth="1" outlineLevel="2"/>
    <col min="156" max="156" width="10.42578125" hidden="1" customWidth="1" outlineLevel="2"/>
    <col min="157" max="157" width="4.28515625" hidden="1" customWidth="1" outlineLevel="1"/>
    <col min="158" max="158" width="9.42578125" style="15" hidden="1" customWidth="1" outlineLevel="2"/>
    <col min="159" max="159" width="10.42578125" hidden="1" customWidth="1" outlineLevel="2"/>
    <col min="160" max="160" width="4.140625" hidden="1" customWidth="1" outlineLevel="1"/>
    <col min="161" max="161" width="9.42578125" style="15" hidden="1" customWidth="1" outlineLevel="2"/>
    <col min="162" max="162" width="10.42578125" hidden="1" customWidth="1" outlineLevel="2"/>
    <col min="163" max="163" width="1.7109375" hidden="1" customWidth="1" outlineLevel="1"/>
    <col min="164" max="164" width="9.42578125" style="15" hidden="1" customWidth="1" outlineLevel="2"/>
    <col min="165" max="165" width="10.42578125" hidden="1" customWidth="1" outlineLevel="2"/>
    <col min="166" max="166" width="3.42578125" hidden="1" customWidth="1" outlineLevel="1"/>
    <col min="167" max="167" width="9.42578125" style="15" hidden="1" customWidth="1" outlineLevel="2"/>
    <col min="168" max="168" width="10.42578125" hidden="1" customWidth="1" outlineLevel="2"/>
    <col min="169" max="169" width="2.7109375" hidden="1" customWidth="1" outlineLevel="1"/>
    <col min="170" max="170" width="9.42578125" style="15" hidden="1" customWidth="1" outlineLevel="2"/>
    <col min="171" max="171" width="10.42578125" hidden="1" customWidth="1" outlineLevel="2"/>
    <col min="172" max="172" width="4.7109375" hidden="1" customWidth="1" outlineLevel="1"/>
    <col min="173" max="173" width="9.42578125" style="15" hidden="1" customWidth="1" outlineLevel="2"/>
    <col min="174" max="174" width="10.42578125" hidden="1" customWidth="1" outlineLevel="2"/>
    <col min="175" max="175" width="9.140625" hidden="1" customWidth="1" outlineLevel="1"/>
    <col min="176" max="176" width="13.140625" style="15" bestFit="1" customWidth="1" collapsed="1"/>
    <col min="177" max="177" width="5.5703125" customWidth="1"/>
    <col min="178" max="178" width="13.140625" style="15" bestFit="1" customWidth="1"/>
    <col min="179" max="179" width="11.28515625" customWidth="1"/>
    <col min="180" max="180" width="4.42578125" customWidth="1"/>
    <col min="181" max="181" width="9.42578125" style="15" hidden="1" customWidth="1" outlineLevel="2"/>
    <col min="182" max="182" width="14.5703125" hidden="1" customWidth="1" outlineLevel="2"/>
    <col min="183" max="183" width="8.85546875" collapsed="1"/>
    <col min="184" max="184" width="9.140625" hidden="1" customWidth="1" outlineLevel="1"/>
    <col min="185" max="185" width="10.140625" hidden="1" customWidth="1" outlineLevel="1"/>
    <col min="186" max="186" width="8.85546875" collapsed="1"/>
    <col min="187" max="187" width="14.140625" hidden="1" customWidth="1" outlineLevel="1"/>
    <col min="188" max="188" width="14.42578125" hidden="1" customWidth="1" outlineLevel="1"/>
    <col min="189" max="189" width="8.85546875" collapsed="1"/>
    <col min="190" max="190" width="9.140625" hidden="1" customWidth="1" outlineLevel="1"/>
    <col min="191" max="191" width="11.7109375" hidden="1" customWidth="1" outlineLevel="1"/>
    <col min="192" max="192" width="9.140625" collapsed="1"/>
    <col min="193" max="193" width="9.140625" hidden="1" customWidth="1" outlineLevel="1"/>
    <col min="194" max="194" width="11.7109375" hidden="1" customWidth="1" outlineLevel="1"/>
    <col min="195" max="195" width="9.140625" collapsed="1"/>
    <col min="196" max="196" width="9.140625" hidden="1" customWidth="1" outlineLevel="1"/>
    <col min="197" max="197" width="11.7109375" hidden="1" customWidth="1" outlineLevel="1"/>
    <col min="198" max="198" width="9.140625" collapsed="1"/>
    <col min="199" max="199" width="9.140625" hidden="1" customWidth="1" outlineLevel="1"/>
    <col min="200" max="200" width="11.7109375" hidden="1" customWidth="1" outlineLevel="1"/>
    <col min="201" max="201" width="6.28515625" customWidth="1" collapsed="1"/>
    <col min="202" max="202" width="0" hidden="1" customWidth="1" outlineLevel="1"/>
    <col min="203" max="203" width="11.7109375" hidden="1" customWidth="1" outlineLevel="1"/>
    <col min="204" max="204" width="9.140625" collapsed="1"/>
    <col min="205" max="205" width="0" hidden="1" customWidth="1" outlineLevel="1"/>
    <col min="206" max="206" width="13.5703125" hidden="1" customWidth="1" outlineLevel="1"/>
    <col min="207" max="207" width="9.140625" collapsed="1"/>
    <col min="208" max="208" width="9.140625" customWidth="1" outlineLevel="1"/>
    <col min="209" max="209" width="16.140625" style="189" customWidth="1" outlineLevel="1"/>
    <col min="210" max="210" width="5.7109375" customWidth="1"/>
    <col min="211" max="211" width="19.28515625" style="189" customWidth="1"/>
    <col min="212" max="212" width="3.140625" customWidth="1"/>
    <col min="213" max="213" width="15.42578125" style="15" customWidth="1"/>
    <col min="214" max="214" width="11.28515625" customWidth="1"/>
  </cols>
  <sheetData>
    <row r="1" spans="1:214">
      <c r="A1" s="466" t="s">
        <v>284</v>
      </c>
      <c r="B1" s="467"/>
      <c r="C1" s="467"/>
      <c r="D1" s="467"/>
      <c r="E1" s="467"/>
      <c r="F1" s="467"/>
      <c r="G1" s="467"/>
      <c r="H1" s="467"/>
      <c r="Q1" s="15">
        <f>Q355</f>
        <v>6722400</v>
      </c>
      <c r="R1" s="15">
        <f>R355</f>
        <v>2751761</v>
      </c>
      <c r="S1" s="15">
        <f>S355</f>
        <v>5885000</v>
      </c>
      <c r="T1" s="15">
        <f>T355</f>
        <v>-846900</v>
      </c>
      <c r="Y1" s="15">
        <f>Y355</f>
        <v>5928700</v>
      </c>
      <c r="Z1">
        <v>5930500</v>
      </c>
      <c r="AA1" s="118">
        <f>Y1-Z1</f>
        <v>-1800</v>
      </c>
      <c r="AH1" s="15">
        <f>SUBTOTAL(9,AH5:AH349)</f>
        <v>14225103.58</v>
      </c>
      <c r="AR1" s="15">
        <f>AR355</f>
        <v>100000</v>
      </c>
      <c r="AS1" s="15">
        <f>AS355</f>
        <v>4929000</v>
      </c>
      <c r="AV1" s="15">
        <f>AV355</f>
        <v>5079300</v>
      </c>
      <c r="AW1" s="15">
        <f>AW355</f>
        <v>0</v>
      </c>
      <c r="AX1" s="15">
        <f>AX355</f>
        <v>49297.26</v>
      </c>
      <c r="AY1" s="15">
        <f>AY355</f>
        <v>5128597.26</v>
      </c>
      <c r="BA1" s="15">
        <f>BA355</f>
        <v>0</v>
      </c>
      <c r="BB1" s="15">
        <f>BB355</f>
        <v>5128597.26</v>
      </c>
      <c r="BD1" s="15">
        <f>BD355</f>
        <v>428903</v>
      </c>
      <c r="BE1" s="15">
        <f>BE355</f>
        <v>5557500.2599999998</v>
      </c>
      <c r="BG1" s="15">
        <f>BG355</f>
        <v>0</v>
      </c>
      <c r="BH1" s="15">
        <f>BH355</f>
        <v>5557500.2599999998</v>
      </c>
      <c r="BJ1" s="15">
        <f>SUBTOTAL(9,BJ5:BJ349)</f>
        <v>11690796.140000002</v>
      </c>
      <c r="BM1" s="15">
        <f>SUBTOTAL(9,BM5:BM349)</f>
        <v>20509000</v>
      </c>
      <c r="BQ1" s="15">
        <f>SUBTOTAL(9,BQ5:BQ349)</f>
        <v>0</v>
      </c>
      <c r="BR1" s="15">
        <f>SUBTOTAL(9,BR5:BR349)</f>
        <v>20509000</v>
      </c>
      <c r="BT1" s="15">
        <f>SUBTOTAL(9,BT5:BT349)</f>
        <v>0</v>
      </c>
      <c r="BU1" s="15">
        <f>SUBTOTAL(9,BU5:BU349)</f>
        <v>20509000</v>
      </c>
      <c r="BW1" s="15">
        <f>SUBTOTAL(9,BW5:BW349)</f>
        <v>560732</v>
      </c>
      <c r="BX1" s="15">
        <f>SUBTOTAL(9,BX5:BX349)</f>
        <v>21069732</v>
      </c>
      <c r="BZ1" s="15">
        <f>SUBTOTAL(9,BZ5:BZ349)</f>
        <v>53000</v>
      </c>
      <c r="CA1" s="15">
        <f>SUBTOTAL(9,CA5:CA349)</f>
        <v>21122732</v>
      </c>
      <c r="CC1" s="15">
        <f>SUBTOTAL(9,CC5:CC349)</f>
        <v>483777.78</v>
      </c>
      <c r="CD1" s="15">
        <f>SUBTOTAL(9,CD5:CD349)</f>
        <v>21606509.780000001</v>
      </c>
      <c r="CF1" s="15">
        <f>SUBTOTAL(9,CF5:CF349)</f>
        <v>0</v>
      </c>
      <c r="CG1" s="15">
        <f>SUBTOTAL(9,CG5:CG349)</f>
        <v>21606509.780000001</v>
      </c>
      <c r="CI1" s="15">
        <f>SUBTOTAL(9,CI5:CI349)</f>
        <v>0</v>
      </c>
      <c r="CJ1" s="15">
        <f>SUBTOTAL(9,CJ5:CJ349)</f>
        <v>21606509.780000001</v>
      </c>
      <c r="CL1" s="15">
        <f>SUBTOTAL(9,CL5:CL349)</f>
        <v>0</v>
      </c>
      <c r="CM1" s="15">
        <f>SUBTOTAL(9,CM5:CM349)</f>
        <v>21606509.780000001</v>
      </c>
      <c r="CO1" s="15">
        <f>SUBTOTAL(9,CO5:CO349)</f>
        <v>304000</v>
      </c>
      <c r="CP1" s="15">
        <f>SUBTOTAL(9,CP5:CP349)</f>
        <v>21910509.780000001</v>
      </c>
      <c r="CR1" s="15">
        <f>SUBTOTAL(9,CR5:CR349)</f>
        <v>484000</v>
      </c>
      <c r="CS1" s="15">
        <f>SUBTOTAL(9,CS5:CS349)</f>
        <v>22394509.780000001</v>
      </c>
      <c r="CU1" s="15">
        <f>SUBTOTAL(9,CU5:CU349)</f>
        <v>-352600</v>
      </c>
      <c r="CV1" s="15">
        <f>SUBTOTAL(9,CV5:CV349)</f>
        <v>22041909.780000001</v>
      </c>
      <c r="CX1" s="15">
        <f>SUBTOTAL(9,CX5:CX349)</f>
        <v>0</v>
      </c>
      <c r="CY1" s="15">
        <f>SUBTOTAL(9,CY5:CY349)</f>
        <v>22041909.780000001</v>
      </c>
      <c r="DA1" s="15">
        <f>SUBTOTAL(9,DA5:DA349)</f>
        <v>23765183.449999996</v>
      </c>
      <c r="DC1" s="15">
        <f>SUBTOTAL(9,DC5:DC349)</f>
        <v>13829826.199999999</v>
      </c>
      <c r="DE1" s="15">
        <f>DE355</f>
        <v>0</v>
      </c>
      <c r="DF1" s="15">
        <f>DF355</f>
        <v>6791389.0999999996</v>
      </c>
      <c r="DH1" s="15">
        <f>DH355</f>
        <v>57325</v>
      </c>
      <c r="DI1" s="15">
        <f>DI355</f>
        <v>6848714.0999999996</v>
      </c>
      <c r="DK1" s="15">
        <f>DK355</f>
        <v>1115990.6599999999</v>
      </c>
      <c r="DL1" s="15">
        <f>DL355</f>
        <v>7964704.7599999998</v>
      </c>
      <c r="DN1" s="15">
        <f>DN355</f>
        <v>0</v>
      </c>
      <c r="DO1" s="15">
        <f>DO355</f>
        <v>7964704.7599999998</v>
      </c>
      <c r="DQ1" s="15">
        <f>DQ355</f>
        <v>215300</v>
      </c>
      <c r="DR1" s="15">
        <f>DR355</f>
        <v>8180004.7599999998</v>
      </c>
      <c r="DT1" s="15">
        <f>DT355</f>
        <v>103900</v>
      </c>
      <c r="DU1" s="15">
        <f>DU355</f>
        <v>8283904.7599999998</v>
      </c>
      <c r="DW1" s="15">
        <f>DW355</f>
        <v>870100</v>
      </c>
      <c r="DX1" s="15">
        <f>DX355</f>
        <v>9154004.7599999998</v>
      </c>
      <c r="DZ1" s="15">
        <f>DZ355</f>
        <v>0</v>
      </c>
      <c r="EA1" s="15">
        <f>EA355</f>
        <v>9154004.7599999998</v>
      </c>
      <c r="EC1" s="15">
        <f>EC355</f>
        <v>-81700</v>
      </c>
      <c r="ED1" s="15">
        <f>ED355</f>
        <v>9072304.7599999998</v>
      </c>
      <c r="EF1" s="15">
        <f>EF355</f>
        <v>-203905</v>
      </c>
      <c r="EG1" s="15">
        <f>EG355</f>
        <v>8868399.7599999998</v>
      </c>
      <c r="EI1" s="15">
        <f>EI355</f>
        <v>8401451.1099999994</v>
      </c>
      <c r="EK1" s="15">
        <f>EK355</f>
        <v>8198220.0999999996</v>
      </c>
      <c r="EM1" s="15">
        <f>EM355</f>
        <v>63080</v>
      </c>
      <c r="EN1" s="15">
        <f>EN355</f>
        <v>8261300.0999999996</v>
      </c>
      <c r="EP1" s="15">
        <f>EP355</f>
        <v>182700</v>
      </c>
      <c r="EQ1" s="15">
        <f>EQ355</f>
        <v>8444000.0999999996</v>
      </c>
      <c r="ES1" s="15">
        <f>ES355</f>
        <v>0</v>
      </c>
      <c r="ET1" s="15">
        <f>ET355</f>
        <v>8444000.0999999996</v>
      </c>
      <c r="EV1" s="15">
        <f>EV355</f>
        <v>0</v>
      </c>
      <c r="EW1" s="15">
        <f>EW355</f>
        <v>8444000.0999999996</v>
      </c>
      <c r="EY1" s="15">
        <f>EY355</f>
        <v>0</v>
      </c>
      <c r="EZ1" s="15">
        <f>EZ355</f>
        <v>8444000.0999999996</v>
      </c>
      <c r="FB1" s="15">
        <f>FB355</f>
        <v>48000</v>
      </c>
      <c r="FC1" s="15">
        <f>FC355</f>
        <v>8492000.0999999996</v>
      </c>
      <c r="FE1" s="15">
        <f>FE355</f>
        <v>0</v>
      </c>
      <c r="FF1" s="15">
        <f>FF355</f>
        <v>8468500.0999999996</v>
      </c>
      <c r="FH1" s="15">
        <f>FH355</f>
        <v>0</v>
      </c>
      <c r="FI1" s="15">
        <f>FI355</f>
        <v>8492000.0999999996</v>
      </c>
      <c r="FK1" s="15">
        <f>FK355</f>
        <v>76881</v>
      </c>
      <c r="FL1" s="15">
        <f>FL355</f>
        <v>8568881.0999999996</v>
      </c>
      <c r="FN1" s="15">
        <f>FN355</f>
        <v>0</v>
      </c>
      <c r="FO1" s="15">
        <f>FO355</f>
        <v>8568881.0999999996</v>
      </c>
      <c r="FQ1" s="15">
        <v>0</v>
      </c>
      <c r="FR1" s="15">
        <v>8568881.0999999996</v>
      </c>
      <c r="FT1" s="15">
        <f>FT355</f>
        <v>8226972.5700000022</v>
      </c>
      <c r="FV1" s="15">
        <f>FV355</f>
        <v>6802769.4000000004</v>
      </c>
      <c r="FY1" s="15">
        <f>FY355</f>
        <v>0</v>
      </c>
      <c r="FZ1" s="15">
        <f>FZ355</f>
        <v>6802769.4000000004</v>
      </c>
      <c r="GB1" s="15">
        <f>GB355</f>
        <v>0</v>
      </c>
      <c r="GC1" s="15">
        <f>GC355</f>
        <v>6802769.4000000004</v>
      </c>
      <c r="GE1" s="15">
        <f>GE355</f>
        <v>20219158.550000001</v>
      </c>
      <c r="GF1" s="15">
        <f>GF355</f>
        <v>27021927.950000003</v>
      </c>
      <c r="GH1" s="15">
        <f>GH355</f>
        <v>0</v>
      </c>
      <c r="GI1" s="15">
        <f>GI355</f>
        <v>27021927.950000003</v>
      </c>
      <c r="GK1" s="15">
        <f>GK355</f>
        <v>0</v>
      </c>
      <c r="GL1" s="15">
        <f>GL355</f>
        <v>27021927.950000003</v>
      </c>
      <c r="GN1" s="15">
        <f>GN355</f>
        <v>0</v>
      </c>
      <c r="GO1" s="15">
        <f>GO355</f>
        <v>27021927.950000003</v>
      </c>
      <c r="GQ1" s="15">
        <f>GQ355</f>
        <v>-192300</v>
      </c>
      <c r="GR1" s="15">
        <f>GR355</f>
        <v>26829627.950000003</v>
      </c>
      <c r="GT1" s="15">
        <f>GT355</f>
        <v>-0.39999999999417923</v>
      </c>
      <c r="GU1" s="15">
        <f>GU355</f>
        <v>26829627.550000001</v>
      </c>
      <c r="GW1" s="15">
        <f>GW355</f>
        <v>-0.2000000000007276</v>
      </c>
      <c r="GX1" s="15">
        <f>GX355</f>
        <v>26829627.350000001</v>
      </c>
      <c r="GZ1" s="15">
        <f>GZ355</f>
        <v>-206500</v>
      </c>
      <c r="HA1" s="189">
        <f>HA355</f>
        <v>26623127.350000001</v>
      </c>
      <c r="HC1" s="15">
        <f>HC355</f>
        <v>19419923.48</v>
      </c>
      <c r="HE1" s="15">
        <f>HE355</f>
        <v>13421803.911699999</v>
      </c>
    </row>
    <row r="2" spans="1:214" s="338" customFormat="1" ht="19.5" thickBot="1">
      <c r="A2" s="337"/>
      <c r="C2" s="339"/>
      <c r="D2" s="479">
        <v>2019</v>
      </c>
      <c r="E2" s="479"/>
      <c r="F2" s="479"/>
      <c r="G2" s="479"/>
      <c r="H2" s="479"/>
      <c r="I2" s="340">
        <v>1.2</v>
      </c>
      <c r="J2" s="340"/>
      <c r="L2" s="192">
        <v>2020</v>
      </c>
      <c r="Q2" s="192"/>
      <c r="S2" s="192">
        <v>5886800</v>
      </c>
      <c r="V2" s="341"/>
      <c r="AA2" s="192"/>
      <c r="AB2" s="192"/>
      <c r="AC2" s="342"/>
      <c r="AD2" s="342"/>
      <c r="AE2" s="192"/>
      <c r="AH2" s="192">
        <v>2020</v>
      </c>
      <c r="AK2" s="343">
        <v>2021</v>
      </c>
      <c r="AL2" s="192"/>
      <c r="AP2" s="344"/>
      <c r="BK2" s="345"/>
      <c r="BL2" s="345"/>
      <c r="BM2" s="343">
        <v>2022</v>
      </c>
      <c r="BN2" s="345"/>
      <c r="BO2" s="345"/>
      <c r="BQ2" s="343">
        <v>2022</v>
      </c>
      <c r="BR2" s="343">
        <v>2022</v>
      </c>
      <c r="BT2" s="343">
        <v>2022</v>
      </c>
      <c r="BU2" s="343">
        <v>2022</v>
      </c>
      <c r="BW2" s="343">
        <v>2022</v>
      </c>
      <c r="BX2" s="343">
        <v>2022</v>
      </c>
      <c r="BZ2" s="343">
        <v>2022</v>
      </c>
      <c r="CA2" s="343">
        <v>2022</v>
      </c>
      <c r="CC2" s="343">
        <v>2022</v>
      </c>
      <c r="CD2" s="343">
        <v>2022</v>
      </c>
      <c r="CF2" s="343">
        <v>2022</v>
      </c>
      <c r="CG2" s="343">
        <v>2022</v>
      </c>
      <c r="CI2" s="343">
        <v>2022</v>
      </c>
      <c r="CJ2" s="343">
        <v>2022</v>
      </c>
      <c r="CL2" s="343">
        <v>2022</v>
      </c>
      <c r="CM2" s="343">
        <v>2022</v>
      </c>
      <c r="CO2" s="343">
        <v>2022</v>
      </c>
      <c r="CP2" s="343">
        <v>2022</v>
      </c>
      <c r="CR2" s="343">
        <v>2022</v>
      </c>
      <c r="CS2" s="343">
        <v>2022</v>
      </c>
      <c r="CU2" s="318">
        <v>2022</v>
      </c>
      <c r="CV2" s="198">
        <v>2022</v>
      </c>
      <c r="CW2"/>
      <c r="CX2" s="318">
        <v>2022</v>
      </c>
      <c r="CY2" s="198">
        <v>2022</v>
      </c>
      <c r="DA2" s="343">
        <v>2022</v>
      </c>
      <c r="DC2" s="343">
        <v>2023</v>
      </c>
      <c r="EI2" s="118">
        <v>2023</v>
      </c>
      <c r="EK2" s="420">
        <v>2024</v>
      </c>
      <c r="EV2" s="15"/>
      <c r="EY2" s="15"/>
      <c r="FB2" s="15"/>
      <c r="FE2" s="15"/>
      <c r="FH2" s="15"/>
      <c r="FK2" s="15"/>
      <c r="FN2" s="15"/>
      <c r="FQ2" s="15"/>
      <c r="FT2" s="420">
        <v>2024</v>
      </c>
      <c r="FV2" s="420">
        <v>2025</v>
      </c>
      <c r="FY2" s="15"/>
      <c r="GB2" s="15"/>
      <c r="GE2" s="15"/>
      <c r="GH2" s="15"/>
      <c r="GK2" s="15"/>
      <c r="GN2" s="15"/>
      <c r="GQ2" s="15"/>
      <c r="GT2" s="15"/>
      <c r="GW2" s="15"/>
      <c r="GZ2" s="15"/>
      <c r="HA2" s="189"/>
      <c r="HC2" s="343">
        <v>2025</v>
      </c>
      <c r="HD2" s="340"/>
      <c r="HE2" s="343">
        <v>2026</v>
      </c>
    </row>
    <row r="3" spans="1:214" ht="30" customHeight="1" thickBot="1">
      <c r="A3" s="1" t="s">
        <v>0</v>
      </c>
      <c r="B3" s="1" t="s">
        <v>0</v>
      </c>
      <c r="C3" s="4" t="s">
        <v>0</v>
      </c>
      <c r="D3" s="41" t="s">
        <v>1</v>
      </c>
      <c r="E3" s="32" t="s">
        <v>0</v>
      </c>
      <c r="F3" s="41" t="s">
        <v>2</v>
      </c>
      <c r="G3" s="32" t="s">
        <v>0</v>
      </c>
      <c r="H3" s="44" t="s">
        <v>281</v>
      </c>
      <c r="I3" s="47" t="s">
        <v>285</v>
      </c>
      <c r="J3" s="13"/>
      <c r="K3" s="13" t="s">
        <v>331</v>
      </c>
      <c r="L3" s="119" t="s">
        <v>2</v>
      </c>
      <c r="M3" t="s">
        <v>287</v>
      </c>
      <c r="N3" t="s">
        <v>289</v>
      </c>
      <c r="S3" s="118" t="s">
        <v>405</v>
      </c>
      <c r="AA3" s="477" t="s">
        <v>413</v>
      </c>
      <c r="AB3" s="478"/>
      <c r="AE3" s="477" t="s">
        <v>436</v>
      </c>
      <c r="AF3" s="478"/>
      <c r="AH3" s="230">
        <v>2020</v>
      </c>
      <c r="AI3" t="s">
        <v>448</v>
      </c>
      <c r="AK3" s="197" t="s">
        <v>452</v>
      </c>
      <c r="AL3" s="15" t="s">
        <v>455</v>
      </c>
      <c r="AM3" t="s">
        <v>453</v>
      </c>
      <c r="AN3" t="s">
        <v>454</v>
      </c>
      <c r="AP3" s="220" t="s">
        <v>466</v>
      </c>
      <c r="AR3" t="s">
        <v>396</v>
      </c>
      <c r="AU3" s="15" t="s">
        <v>406</v>
      </c>
      <c r="AX3" s="15" t="s">
        <v>411</v>
      </c>
      <c r="BA3" s="15" t="s">
        <v>488</v>
      </c>
      <c r="BD3" s="15" t="s">
        <v>413</v>
      </c>
      <c r="BG3" s="15" t="s">
        <v>494</v>
      </c>
      <c r="BJ3" s="231">
        <v>2021</v>
      </c>
      <c r="BM3" s="197" t="s">
        <v>547</v>
      </c>
      <c r="BQ3" s="300" t="s">
        <v>466</v>
      </c>
      <c r="BR3" s="300" t="s">
        <v>547</v>
      </c>
      <c r="BS3" s="139"/>
      <c r="BT3" s="300" t="s">
        <v>553</v>
      </c>
      <c r="BU3" s="300" t="s">
        <v>547</v>
      </c>
      <c r="BV3" s="139"/>
      <c r="BW3" s="300" t="s">
        <v>396</v>
      </c>
      <c r="BX3" s="300" t="s">
        <v>547</v>
      </c>
      <c r="BZ3" s="300" t="s">
        <v>406</v>
      </c>
      <c r="CA3" s="300" t="s">
        <v>547</v>
      </c>
      <c r="CC3" s="300" t="s">
        <v>411</v>
      </c>
      <c r="CD3" s="300" t="s">
        <v>547</v>
      </c>
      <c r="CF3" s="300" t="s">
        <v>559</v>
      </c>
      <c r="CG3" s="300" t="s">
        <v>547</v>
      </c>
      <c r="CI3" s="300" t="s">
        <v>561</v>
      </c>
      <c r="CJ3" s="300" t="s">
        <v>547</v>
      </c>
      <c r="CL3" s="300" t="s">
        <v>562</v>
      </c>
      <c r="CM3" s="300" t="s">
        <v>547</v>
      </c>
      <c r="CO3" s="300" t="s">
        <v>413</v>
      </c>
      <c r="CP3" s="300" t="s">
        <v>547</v>
      </c>
      <c r="CR3" s="317" t="s">
        <v>436</v>
      </c>
      <c r="CS3" s="300" t="s">
        <v>547</v>
      </c>
      <c r="CU3" s="317" t="s">
        <v>440</v>
      </c>
      <c r="CV3" s="300" t="s">
        <v>547</v>
      </c>
      <c r="CX3" s="317" t="s">
        <v>574</v>
      </c>
      <c r="CY3" s="300" t="s">
        <v>547</v>
      </c>
      <c r="DA3" s="300" t="s">
        <v>442</v>
      </c>
      <c r="DC3" s="300" t="s">
        <v>547</v>
      </c>
      <c r="DE3" s="118" t="s">
        <v>396</v>
      </c>
      <c r="DF3" s="131">
        <v>44984</v>
      </c>
      <c r="DH3" s="118" t="s">
        <v>406</v>
      </c>
      <c r="DI3" s="131">
        <v>45001</v>
      </c>
      <c r="DK3" s="118" t="s">
        <v>608</v>
      </c>
      <c r="DL3" s="131">
        <v>45044</v>
      </c>
      <c r="DN3" s="158" t="s">
        <v>619</v>
      </c>
      <c r="DO3" s="131">
        <v>45046</v>
      </c>
      <c r="DQ3" s="158" t="s">
        <v>413</v>
      </c>
      <c r="DR3" s="131">
        <v>45066</v>
      </c>
      <c r="DT3" s="158" t="s">
        <v>436</v>
      </c>
      <c r="DU3" s="370">
        <v>45124</v>
      </c>
      <c r="DW3" s="158" t="s">
        <v>440</v>
      </c>
      <c r="DX3" s="370">
        <v>45190</v>
      </c>
      <c r="DZ3" s="373" t="s">
        <v>619</v>
      </c>
      <c r="EA3" s="370">
        <v>45208</v>
      </c>
      <c r="EC3" s="158" t="s">
        <v>574</v>
      </c>
      <c r="ED3" s="370">
        <v>45257</v>
      </c>
      <c r="EF3" s="158" t="s">
        <v>648</v>
      </c>
      <c r="EG3" s="370">
        <v>45278</v>
      </c>
      <c r="EI3" s="158" t="s">
        <v>442</v>
      </c>
      <c r="EK3" s="158" t="s">
        <v>659</v>
      </c>
      <c r="EM3" s="373" t="s">
        <v>664</v>
      </c>
      <c r="EN3" s="370">
        <v>45377</v>
      </c>
      <c r="EP3" s="373" t="s">
        <v>665</v>
      </c>
      <c r="EQ3" s="370">
        <v>45408</v>
      </c>
      <c r="ES3" s="373" t="s">
        <v>619</v>
      </c>
      <c r="ET3" s="370">
        <v>45425</v>
      </c>
      <c r="EV3" s="373" t="s">
        <v>619</v>
      </c>
      <c r="EW3" s="370">
        <v>45446</v>
      </c>
      <c r="EY3" s="373" t="s">
        <v>619</v>
      </c>
      <c r="EZ3" s="370">
        <v>45489</v>
      </c>
      <c r="FB3" s="317" t="s">
        <v>674</v>
      </c>
      <c r="FC3" s="370">
        <v>45532</v>
      </c>
      <c r="FE3" s="373" t="s">
        <v>619</v>
      </c>
      <c r="FF3" s="370">
        <v>45545</v>
      </c>
      <c r="FH3" s="373" t="s">
        <v>619</v>
      </c>
      <c r="FI3" s="370">
        <v>45574</v>
      </c>
      <c r="FK3" s="317" t="s">
        <v>677</v>
      </c>
      <c r="FL3" s="370">
        <v>45615</v>
      </c>
      <c r="FN3" s="373" t="s">
        <v>619</v>
      </c>
      <c r="FO3" s="370">
        <v>45621</v>
      </c>
      <c r="FQ3" s="373" t="s">
        <v>619</v>
      </c>
      <c r="FR3" s="370">
        <v>45646</v>
      </c>
      <c r="FT3" s="158" t="s">
        <v>442</v>
      </c>
      <c r="FV3" s="158" t="s">
        <v>659</v>
      </c>
      <c r="FY3" s="373" t="s">
        <v>619</v>
      </c>
      <c r="FZ3" s="370">
        <v>45747</v>
      </c>
      <c r="GB3" s="373" t="s">
        <v>619</v>
      </c>
      <c r="GC3" s="370">
        <v>45771</v>
      </c>
      <c r="GE3" s="373" t="s">
        <v>396</v>
      </c>
      <c r="GF3" s="370">
        <v>45825</v>
      </c>
      <c r="GH3" s="373" t="s">
        <v>619</v>
      </c>
      <c r="GI3" s="370">
        <v>45831</v>
      </c>
      <c r="GK3" s="373" t="s">
        <v>619</v>
      </c>
      <c r="GL3" s="370">
        <v>45859</v>
      </c>
      <c r="GN3" s="373" t="s">
        <v>619</v>
      </c>
      <c r="GO3" s="370">
        <v>45889</v>
      </c>
      <c r="GQ3" s="373" t="s">
        <v>711</v>
      </c>
      <c r="GR3" s="370">
        <v>45919</v>
      </c>
      <c r="GT3" s="373" t="s">
        <v>619</v>
      </c>
      <c r="GU3" s="370">
        <v>45950</v>
      </c>
      <c r="GW3" s="373" t="s">
        <v>619</v>
      </c>
      <c r="GX3" s="370">
        <v>45981</v>
      </c>
      <c r="GZ3" s="373" t="s">
        <v>721</v>
      </c>
      <c r="HA3" s="370">
        <v>46006</v>
      </c>
      <c r="HC3" s="446" t="s">
        <v>442</v>
      </c>
      <c r="HE3" s="158" t="s">
        <v>659</v>
      </c>
      <c r="HF3" t="s">
        <v>737</v>
      </c>
    </row>
    <row r="4" spans="1:214" s="139" customFormat="1" ht="33.75" customHeight="1" thickBot="1">
      <c r="A4" s="301" t="s">
        <v>4</v>
      </c>
      <c r="B4" s="301" t="s">
        <v>5</v>
      </c>
      <c r="C4" s="302" t="s">
        <v>6</v>
      </c>
      <c r="D4" s="303" t="s">
        <v>7</v>
      </c>
      <c r="E4" s="304" t="s">
        <v>8</v>
      </c>
      <c r="F4" s="303" t="s">
        <v>9</v>
      </c>
      <c r="G4" s="304" t="s">
        <v>8</v>
      </c>
      <c r="H4" s="305" t="s">
        <v>309</v>
      </c>
      <c r="I4" s="306" t="s">
        <v>286</v>
      </c>
      <c r="J4" s="139" t="s">
        <v>387</v>
      </c>
      <c r="L4" s="307"/>
      <c r="M4" s="139" t="s">
        <v>288</v>
      </c>
      <c r="N4" s="139" t="s">
        <v>290</v>
      </c>
      <c r="O4" s="139" t="s">
        <v>387</v>
      </c>
      <c r="Q4" s="152" t="s">
        <v>396</v>
      </c>
      <c r="R4" s="153" t="s">
        <v>404</v>
      </c>
      <c r="S4" s="152" t="s">
        <v>406</v>
      </c>
      <c r="T4" s="153" t="s">
        <v>408</v>
      </c>
      <c r="U4" s="153" t="s">
        <v>407</v>
      </c>
      <c r="V4" s="308"/>
      <c r="Y4" s="309" t="s">
        <v>411</v>
      </c>
      <c r="AA4" s="152" t="s">
        <v>413</v>
      </c>
      <c r="AB4" s="152"/>
      <c r="AC4" s="310" t="s">
        <v>434</v>
      </c>
      <c r="AD4" s="310"/>
      <c r="AE4" s="152" t="s">
        <v>436</v>
      </c>
      <c r="AF4" s="311" t="s">
        <v>437</v>
      </c>
      <c r="AH4" s="312" t="s">
        <v>442</v>
      </c>
      <c r="AK4" s="152"/>
      <c r="AL4" s="153"/>
      <c r="AP4" s="313"/>
      <c r="AR4" s="139" t="s">
        <v>467</v>
      </c>
      <c r="AS4" s="139" t="s">
        <v>468</v>
      </c>
      <c r="AU4" s="153" t="s">
        <v>467</v>
      </c>
      <c r="AV4" s="139" t="s">
        <v>468</v>
      </c>
      <c r="AX4" s="153" t="s">
        <v>467</v>
      </c>
      <c r="AY4" s="139" t="s">
        <v>468</v>
      </c>
      <c r="BA4" s="153" t="s">
        <v>467</v>
      </c>
      <c r="BB4" s="139" t="s">
        <v>468</v>
      </c>
      <c r="BD4" s="153" t="s">
        <v>467</v>
      </c>
      <c r="BE4" s="139" t="s">
        <v>468</v>
      </c>
      <c r="BG4" s="153" t="s">
        <v>467</v>
      </c>
      <c r="BH4" s="139" t="s">
        <v>468</v>
      </c>
      <c r="BJ4" s="314" t="s">
        <v>442</v>
      </c>
      <c r="BK4" s="315" t="s">
        <v>499</v>
      </c>
      <c r="BL4" s="316"/>
      <c r="BM4" s="312"/>
      <c r="BN4" s="316" t="s">
        <v>500</v>
      </c>
      <c r="BO4" s="316" t="s">
        <v>501</v>
      </c>
      <c r="BQ4" s="312" t="s">
        <v>467</v>
      </c>
      <c r="BR4" s="312" t="s">
        <v>468</v>
      </c>
      <c r="BT4" s="312" t="s">
        <v>467</v>
      </c>
      <c r="BU4" s="312" t="s">
        <v>468</v>
      </c>
      <c r="BW4" s="312" t="s">
        <v>467</v>
      </c>
      <c r="BX4" s="312" t="s">
        <v>468</v>
      </c>
      <c r="BZ4" s="312" t="s">
        <v>467</v>
      </c>
      <c r="CA4" s="312" t="s">
        <v>468</v>
      </c>
      <c r="CC4" s="312" t="s">
        <v>467</v>
      </c>
      <c r="CD4" s="312" t="s">
        <v>468</v>
      </c>
      <c r="CF4" s="312" t="s">
        <v>467</v>
      </c>
      <c r="CG4" s="312" t="s">
        <v>468</v>
      </c>
      <c r="CI4" s="312" t="s">
        <v>467</v>
      </c>
      <c r="CJ4" s="312" t="s">
        <v>468</v>
      </c>
      <c r="CL4" s="314" t="s">
        <v>467</v>
      </c>
      <c r="CM4" s="312" t="s">
        <v>468</v>
      </c>
      <c r="CO4" s="314" t="s">
        <v>467</v>
      </c>
      <c r="CP4" s="312" t="s">
        <v>468</v>
      </c>
      <c r="CR4" s="314" t="s">
        <v>467</v>
      </c>
      <c r="CS4" s="312" t="s">
        <v>468</v>
      </c>
      <c r="CU4" s="314" t="s">
        <v>467</v>
      </c>
      <c r="CV4" s="312" t="s">
        <v>468</v>
      </c>
      <c r="CX4" s="314" t="s">
        <v>467</v>
      </c>
      <c r="CY4" s="312" t="s">
        <v>468</v>
      </c>
      <c r="DA4" s="314"/>
      <c r="DC4" s="314"/>
      <c r="DE4" s="153" t="s">
        <v>467</v>
      </c>
      <c r="DF4" s="139" t="s">
        <v>468</v>
      </c>
      <c r="DH4" s="153" t="s">
        <v>467</v>
      </c>
      <c r="DI4" s="139" t="s">
        <v>468</v>
      </c>
      <c r="DK4" s="153" t="s">
        <v>467</v>
      </c>
      <c r="DL4" s="139" t="s">
        <v>468</v>
      </c>
      <c r="DN4" s="153" t="s">
        <v>467</v>
      </c>
      <c r="DO4" s="139" t="s">
        <v>468</v>
      </c>
      <c r="DQ4" s="153" t="s">
        <v>467</v>
      </c>
      <c r="DR4" s="139" t="s">
        <v>468</v>
      </c>
      <c r="DT4" s="153" t="s">
        <v>467</v>
      </c>
      <c r="DU4" s="139" t="s">
        <v>468</v>
      </c>
      <c r="DW4" s="153" t="s">
        <v>467</v>
      </c>
      <c r="DX4" s="139" t="s">
        <v>468</v>
      </c>
      <c r="DZ4" s="153" t="s">
        <v>467</v>
      </c>
      <c r="EA4" s="139" t="s">
        <v>468</v>
      </c>
      <c r="EC4" s="153" t="s">
        <v>467</v>
      </c>
      <c r="ED4" s="139" t="s">
        <v>468</v>
      </c>
      <c r="EF4" s="153" t="s">
        <v>467</v>
      </c>
      <c r="EG4" s="139" t="s">
        <v>468</v>
      </c>
      <c r="EI4" s="153"/>
      <c r="EK4" s="153"/>
      <c r="EM4" s="153" t="s">
        <v>467</v>
      </c>
      <c r="EN4" s="139" t="s">
        <v>468</v>
      </c>
      <c r="EP4" s="153" t="s">
        <v>467</v>
      </c>
      <c r="EQ4" s="139" t="s">
        <v>468</v>
      </c>
      <c r="ES4" s="153" t="s">
        <v>467</v>
      </c>
      <c r="ET4" s="139" t="s">
        <v>468</v>
      </c>
      <c r="EV4" s="153" t="s">
        <v>467</v>
      </c>
      <c r="EW4" s="139" t="s">
        <v>468</v>
      </c>
      <c r="EY4" s="153" t="s">
        <v>467</v>
      </c>
      <c r="EZ4" s="139" t="s">
        <v>468</v>
      </c>
      <c r="FB4" s="153" t="s">
        <v>467</v>
      </c>
      <c r="FC4" s="139" t="s">
        <v>468</v>
      </c>
      <c r="FE4" s="153" t="s">
        <v>467</v>
      </c>
      <c r="FF4" s="139" t="s">
        <v>468</v>
      </c>
      <c r="FH4" s="153" t="s">
        <v>467</v>
      </c>
      <c r="FI4" s="139" t="s">
        <v>468</v>
      </c>
      <c r="FK4" s="153" t="s">
        <v>467</v>
      </c>
      <c r="FL4" s="139" t="s">
        <v>468</v>
      </c>
      <c r="FN4" s="153" t="s">
        <v>467</v>
      </c>
      <c r="FO4" s="139" t="s">
        <v>468</v>
      </c>
      <c r="FQ4" s="153" t="s">
        <v>467</v>
      </c>
      <c r="FR4" s="139" t="s">
        <v>468</v>
      </c>
      <c r="FT4" s="153"/>
      <c r="FV4" s="153"/>
      <c r="FY4" s="153" t="s">
        <v>467</v>
      </c>
      <c r="FZ4" s="139" t="s">
        <v>468</v>
      </c>
      <c r="GB4" s="153" t="s">
        <v>467</v>
      </c>
      <c r="GC4" s="139" t="s">
        <v>468</v>
      </c>
      <c r="GE4" s="153" t="s">
        <v>467</v>
      </c>
      <c r="GF4" s="139" t="s">
        <v>468</v>
      </c>
      <c r="GH4" s="153" t="s">
        <v>467</v>
      </c>
      <c r="GI4" s="139" t="s">
        <v>468</v>
      </c>
      <c r="GK4" s="153" t="s">
        <v>467</v>
      </c>
      <c r="GL4" s="139" t="s">
        <v>468</v>
      </c>
      <c r="GN4" s="153" t="s">
        <v>467</v>
      </c>
      <c r="GO4" s="139" t="s">
        <v>468</v>
      </c>
      <c r="GQ4" s="153" t="s">
        <v>467</v>
      </c>
      <c r="GR4" s="139" t="s">
        <v>468</v>
      </c>
      <c r="GT4" s="153" t="s">
        <v>467</v>
      </c>
      <c r="GU4" s="139" t="s">
        <v>468</v>
      </c>
      <c r="GW4" s="153" t="s">
        <v>467</v>
      </c>
      <c r="GX4" s="139" t="s">
        <v>468</v>
      </c>
      <c r="GZ4" s="153" t="s">
        <v>467</v>
      </c>
      <c r="HA4" s="429" t="s">
        <v>468</v>
      </c>
      <c r="HC4" s="429"/>
      <c r="HE4" s="153"/>
    </row>
    <row r="5" spans="1:214" hidden="1" outlineLevel="1">
      <c r="A5" s="3" t="s">
        <v>106</v>
      </c>
      <c r="B5" s="3" t="s">
        <v>107</v>
      </c>
      <c r="C5" s="5" t="s">
        <v>108</v>
      </c>
      <c r="D5" s="42">
        <v>10000</v>
      </c>
      <c r="E5" s="33">
        <v>0</v>
      </c>
      <c r="F5" s="42">
        <v>0</v>
      </c>
      <c r="G5" s="33">
        <v>0</v>
      </c>
      <c r="H5" s="45">
        <v>0</v>
      </c>
      <c r="I5" s="36">
        <v>0</v>
      </c>
      <c r="J5" s="14"/>
      <c r="K5" t="s">
        <v>332</v>
      </c>
      <c r="L5" s="121">
        <v>10000</v>
      </c>
      <c r="M5" s="17" t="e">
        <f>L5/F5-1</f>
        <v>#DIV/0!</v>
      </c>
      <c r="N5" s="17" t="e">
        <f>L5/I5-1</f>
        <v>#DIV/0!</v>
      </c>
      <c r="Q5" s="118">
        <v>10000</v>
      </c>
      <c r="R5" s="15">
        <v>0</v>
      </c>
      <c r="S5" s="118">
        <v>10000</v>
      </c>
      <c r="T5" s="157">
        <f>S5-Q5</f>
        <v>0</v>
      </c>
      <c r="U5" s="16">
        <f>S5/Q5-1</f>
        <v>0</v>
      </c>
      <c r="Y5" s="118">
        <v>10000</v>
      </c>
      <c r="AA5" s="118">
        <v>9000</v>
      </c>
      <c r="AB5" s="185">
        <f>AA5-Y5</f>
        <v>-1000</v>
      </c>
      <c r="AC5" s="187">
        <f>AA5-Y5</f>
        <v>-1000</v>
      </c>
      <c r="AD5" s="187"/>
      <c r="AE5" s="118">
        <v>9000</v>
      </c>
      <c r="AF5" s="182"/>
      <c r="AH5" s="15">
        <v>9000</v>
      </c>
      <c r="AI5" s="17">
        <f>AH5/AE5</f>
        <v>1</v>
      </c>
      <c r="AK5" s="118">
        <v>10000</v>
      </c>
      <c r="AS5" s="15">
        <f>AR5+AK5</f>
        <v>10000</v>
      </c>
      <c r="AV5" s="15">
        <f>AS5+AU5</f>
        <v>10000</v>
      </c>
      <c r="AX5" s="15"/>
      <c r="AY5" s="15">
        <f>AV5+AX5</f>
        <v>10000</v>
      </c>
      <c r="BB5" s="15">
        <f>AY5+BA5</f>
        <v>10000</v>
      </c>
      <c r="BD5" s="15">
        <v>-1000</v>
      </c>
      <c r="BE5" s="15">
        <f>BB5+BD5</f>
        <v>9000</v>
      </c>
      <c r="BG5" s="15"/>
      <c r="BH5" s="15">
        <f>BE5+BG5</f>
        <v>9000</v>
      </c>
      <c r="BJ5" s="15">
        <v>9000</v>
      </c>
      <c r="BK5" s="235">
        <f>BJ5/BH5</f>
        <v>1</v>
      </c>
      <c r="BM5" s="15">
        <v>10000</v>
      </c>
      <c r="BN5" s="235">
        <f>BM5/BJ5</f>
        <v>1.1111111111111112</v>
      </c>
      <c r="BO5" s="235">
        <f>BM5/BH5</f>
        <v>1.1111111111111112</v>
      </c>
      <c r="BQ5" s="15"/>
      <c r="BR5" s="15">
        <f>BM5+BQ5</f>
        <v>10000</v>
      </c>
      <c r="BT5" s="15"/>
      <c r="BU5" s="15">
        <f>BR5+BT5</f>
        <v>10000</v>
      </c>
      <c r="BW5" s="15"/>
      <c r="BX5" s="15">
        <f>BU5+BW5</f>
        <v>10000</v>
      </c>
      <c r="BZ5" s="15"/>
      <c r="CA5" s="15">
        <f>BX5+BZ5</f>
        <v>10000</v>
      </c>
      <c r="CC5" s="15"/>
      <c r="CD5" s="15">
        <f>CA5+CC5</f>
        <v>10000</v>
      </c>
      <c r="CF5" s="15"/>
      <c r="CG5" s="15">
        <f>CD5+CF5</f>
        <v>10000</v>
      </c>
      <c r="CI5" s="15"/>
      <c r="CJ5" s="15">
        <f>CG5+CI5</f>
        <v>10000</v>
      </c>
      <c r="CM5" s="15">
        <f>CJ5+CL5</f>
        <v>10000</v>
      </c>
      <c r="CP5" s="15">
        <f>CM5+CO5</f>
        <v>10000</v>
      </c>
      <c r="CS5" s="15">
        <f>CP5+CR5</f>
        <v>10000</v>
      </c>
      <c r="CV5" s="15">
        <f>CS5+CU5</f>
        <v>10000</v>
      </c>
      <c r="CY5" s="15">
        <f>CV5+CX5</f>
        <v>10000</v>
      </c>
      <c r="DA5" s="15">
        <v>10000</v>
      </c>
      <c r="DC5" s="15">
        <v>10000</v>
      </c>
      <c r="DE5" s="15"/>
      <c r="DF5" s="15">
        <f>DC5+DE5</f>
        <v>10000</v>
      </c>
      <c r="DH5" s="15"/>
      <c r="DI5" s="15">
        <f>DF5+DH5</f>
        <v>10000</v>
      </c>
      <c r="DK5" s="15"/>
      <c r="DL5" s="15">
        <f>DI5+DK5</f>
        <v>10000</v>
      </c>
      <c r="DN5" s="15"/>
      <c r="DO5" s="15">
        <f>DL5+DN5</f>
        <v>10000</v>
      </c>
      <c r="DQ5" s="15"/>
      <c r="DR5" s="15">
        <f>DO5+DQ5</f>
        <v>10000</v>
      </c>
      <c r="DT5" s="15"/>
      <c r="DU5" s="15">
        <f>DR5+DT5</f>
        <v>10000</v>
      </c>
      <c r="DW5" s="15"/>
      <c r="DX5" s="15">
        <f>DU5+DW5</f>
        <v>10000</v>
      </c>
      <c r="DZ5" s="15"/>
      <c r="EA5" s="15">
        <f>DX5+DZ5</f>
        <v>10000</v>
      </c>
      <c r="EC5" s="15"/>
      <c r="ED5" s="15">
        <f>EA5+EC5</f>
        <v>10000</v>
      </c>
      <c r="EF5" s="15"/>
      <c r="EG5" s="15">
        <f>ED5+EF5</f>
        <v>10000</v>
      </c>
      <c r="EI5" s="15">
        <v>10000</v>
      </c>
      <c r="EK5" s="15">
        <v>10000</v>
      </c>
      <c r="EM5" s="15"/>
      <c r="EN5" s="15">
        <f>EK5+EM5</f>
        <v>10000</v>
      </c>
      <c r="EP5" s="15"/>
      <c r="EQ5" s="15">
        <f>EN5+EP5</f>
        <v>10000</v>
      </c>
      <c r="ES5" s="15"/>
      <c r="ET5" s="15">
        <f>EQ5+ES5</f>
        <v>10000</v>
      </c>
      <c r="EV5" s="227">
        <v>-3000</v>
      </c>
      <c r="EW5" s="15">
        <f>ET5+EV5</f>
        <v>7000</v>
      </c>
      <c r="EZ5" s="15">
        <f>EW5+EY5</f>
        <v>7000</v>
      </c>
      <c r="FC5" s="15">
        <f>EZ5+FB5</f>
        <v>7000</v>
      </c>
      <c r="FF5" s="15">
        <f>FC5+FE5</f>
        <v>7000</v>
      </c>
      <c r="FI5" s="15">
        <f>FF5+FH5</f>
        <v>7000</v>
      </c>
      <c r="FL5" s="15">
        <f>FI5+FK5</f>
        <v>7000</v>
      </c>
      <c r="FO5" s="15">
        <f>FL5+FN5</f>
        <v>7000</v>
      </c>
      <c r="FR5" s="15">
        <v>7000</v>
      </c>
      <c r="FT5" s="15">
        <v>7000</v>
      </c>
      <c r="FV5" s="15">
        <v>10000</v>
      </c>
      <c r="FW5" s="235">
        <f t="shared" ref="FW5" si="0">FV5/FT5</f>
        <v>1.4285714285714286</v>
      </c>
      <c r="FZ5" s="15">
        <f>FV5+FY5</f>
        <v>10000</v>
      </c>
      <c r="GB5" s="15"/>
      <c r="GC5" s="15">
        <f>FZ5+GB5</f>
        <v>10000</v>
      </c>
      <c r="GE5" s="227">
        <v>-2000</v>
      </c>
      <c r="GF5" s="15">
        <f>GC5+GE5</f>
        <v>8000</v>
      </c>
      <c r="GH5" s="15"/>
      <c r="GI5" s="15">
        <f>GF5+GH5</f>
        <v>8000</v>
      </c>
      <c r="GK5" s="15"/>
      <c r="GL5" s="15">
        <f>GI5+GK5</f>
        <v>8000</v>
      </c>
      <c r="GN5" s="15"/>
      <c r="GO5" s="15">
        <f>GL5+GN5</f>
        <v>8000</v>
      </c>
      <c r="GQ5" s="15"/>
      <c r="GR5" s="15">
        <f>GO5+GQ5</f>
        <v>8000</v>
      </c>
      <c r="GT5" s="15"/>
      <c r="GU5" s="15">
        <f>GR5+GT5</f>
        <v>8000</v>
      </c>
      <c r="GW5" s="15"/>
      <c r="GX5" s="15">
        <f>GU5+GW5</f>
        <v>8000</v>
      </c>
      <c r="GZ5" s="15"/>
      <c r="HA5" s="189">
        <f>GX5+GZ5</f>
        <v>8000</v>
      </c>
      <c r="HC5" s="189">
        <v>8000</v>
      </c>
      <c r="HE5" s="15">
        <v>10000</v>
      </c>
      <c r="HF5" s="235">
        <f>HE5/HC5</f>
        <v>1.25</v>
      </c>
    </row>
    <row r="6" spans="1:214" hidden="1" outlineLevel="1">
      <c r="A6" s="1" t="s">
        <v>106</v>
      </c>
      <c r="B6" s="4" t="s">
        <v>46</v>
      </c>
      <c r="C6" s="4" t="s">
        <v>109</v>
      </c>
      <c r="D6" s="43">
        <v>10000</v>
      </c>
      <c r="E6" s="34">
        <v>0</v>
      </c>
      <c r="F6" s="43">
        <v>0</v>
      </c>
      <c r="G6" s="34">
        <v>0</v>
      </c>
      <c r="H6" s="46">
        <v>0</v>
      </c>
      <c r="I6" s="36"/>
      <c r="J6" s="14"/>
      <c r="Y6" s="118"/>
      <c r="AF6" s="182"/>
      <c r="AH6" s="15"/>
      <c r="AX6" s="15"/>
      <c r="BD6" s="15"/>
      <c r="BG6" s="15"/>
      <c r="DE6" s="15"/>
      <c r="DH6" s="15"/>
      <c r="DK6" s="15"/>
      <c r="DN6" s="15"/>
      <c r="DQ6" s="15"/>
      <c r="DT6" s="15"/>
      <c r="DW6" s="15"/>
      <c r="DZ6" s="15"/>
      <c r="EC6" s="15"/>
      <c r="EF6" s="15"/>
      <c r="EK6" s="15"/>
      <c r="EM6" s="15"/>
      <c r="EP6" s="15"/>
      <c r="ES6" s="15"/>
      <c r="GB6" s="15"/>
      <c r="GE6" s="15"/>
      <c r="GH6" s="15"/>
      <c r="GK6" s="15"/>
      <c r="GN6" s="15"/>
      <c r="GQ6" s="15"/>
      <c r="GT6" s="15"/>
      <c r="GW6" s="15"/>
      <c r="GZ6" s="15"/>
    </row>
    <row r="7" spans="1:214" hidden="1" outlineLevel="1">
      <c r="A7" s="1" t="s">
        <v>110</v>
      </c>
      <c r="B7" s="4" t="s">
        <v>48</v>
      </c>
      <c r="C7" s="4" t="s">
        <v>111</v>
      </c>
      <c r="D7" s="43">
        <v>10000</v>
      </c>
      <c r="E7" s="34">
        <v>0</v>
      </c>
      <c r="F7" s="43">
        <v>0</v>
      </c>
      <c r="G7" s="34">
        <v>0</v>
      </c>
      <c r="H7" s="46">
        <v>0</v>
      </c>
      <c r="I7" s="36"/>
      <c r="J7" s="14"/>
      <c r="Y7" s="118"/>
      <c r="AF7" s="182"/>
      <c r="AH7" s="15"/>
      <c r="AX7" s="15"/>
      <c r="BD7" s="15"/>
      <c r="BG7" s="15"/>
      <c r="DE7" s="15"/>
      <c r="DH7" s="15"/>
      <c r="DK7" s="15"/>
      <c r="DN7" s="15"/>
      <c r="DQ7" s="15"/>
      <c r="DT7" s="15"/>
      <c r="DW7" s="15"/>
      <c r="DZ7" s="15"/>
      <c r="EC7" s="15"/>
      <c r="EF7" s="15"/>
      <c r="EK7" s="15"/>
      <c r="EM7" s="15"/>
      <c r="EP7" s="15"/>
      <c r="ES7" s="15"/>
      <c r="GB7" s="15"/>
      <c r="GE7" s="15"/>
      <c r="GH7" s="15"/>
      <c r="GK7" s="15"/>
      <c r="GN7" s="15"/>
      <c r="GQ7" s="15"/>
      <c r="GT7" s="15"/>
      <c r="GW7" s="15"/>
      <c r="GZ7" s="15"/>
    </row>
    <row r="8" spans="1:214" ht="16.5" customHeight="1" collapsed="1" thickBot="1">
      <c r="A8" s="54" t="s">
        <v>106</v>
      </c>
      <c r="B8" s="55" t="s">
        <v>316</v>
      </c>
      <c r="C8" s="283" t="s">
        <v>109</v>
      </c>
      <c r="D8" s="57">
        <f>D5</f>
        <v>10000</v>
      </c>
      <c r="E8" s="58"/>
      <c r="F8" s="57">
        <f>F5</f>
        <v>0</v>
      </c>
      <c r="G8" s="58"/>
      <c r="H8" s="57"/>
      <c r="I8" s="57">
        <f>I5</f>
        <v>0</v>
      </c>
      <c r="J8" s="59"/>
      <c r="K8" s="60"/>
      <c r="L8" s="122">
        <f>L5</f>
        <v>10000</v>
      </c>
      <c r="M8" s="61" t="e">
        <f>L8/F8-1</f>
        <v>#DIV/0!</v>
      </c>
      <c r="N8" s="61" t="e">
        <f>L8/I8-1</f>
        <v>#DIV/0!</v>
      </c>
      <c r="Q8" s="122">
        <f>Q5</f>
        <v>10000</v>
      </c>
      <c r="R8" s="122">
        <f>R5</f>
        <v>0</v>
      </c>
      <c r="S8" s="122">
        <f>S5</f>
        <v>10000</v>
      </c>
      <c r="T8" s="122">
        <f>T5</f>
        <v>0</v>
      </c>
      <c r="U8" s="155">
        <f>S8/Q8-1</f>
        <v>0</v>
      </c>
      <c r="Y8" s="122">
        <f>Y5</f>
        <v>10000</v>
      </c>
      <c r="Z8" s="122">
        <f>Z5</f>
        <v>0</v>
      </c>
      <c r="AA8" s="122">
        <f>AA5</f>
        <v>9000</v>
      </c>
      <c r="AB8" s="122">
        <f>AB5</f>
        <v>-1000</v>
      </c>
      <c r="AE8" s="122">
        <f>AE5</f>
        <v>9000</v>
      </c>
      <c r="AF8" s="182"/>
      <c r="AH8" s="122">
        <f>AH5</f>
        <v>9000</v>
      </c>
      <c r="AI8" s="17">
        <f>AH8/AE8</f>
        <v>1</v>
      </c>
      <c r="AK8" s="122">
        <f>AK5</f>
        <v>10000</v>
      </c>
      <c r="AL8" s="193">
        <f>AK8/L8</f>
        <v>1</v>
      </c>
      <c r="AM8" s="17">
        <f>AK8/AE8</f>
        <v>1.1111111111111112</v>
      </c>
      <c r="AN8" s="17">
        <f>AK8/AH8</f>
        <v>1.1111111111111112</v>
      </c>
      <c r="AR8" s="122">
        <f>AR5</f>
        <v>0</v>
      </c>
      <c r="AS8" s="122">
        <f>AS5</f>
        <v>10000</v>
      </c>
      <c r="AU8" s="122">
        <f>AU5</f>
        <v>0</v>
      </c>
      <c r="AV8" s="122">
        <f>AV5</f>
        <v>10000</v>
      </c>
      <c r="AX8" s="122">
        <f>AX5</f>
        <v>0</v>
      </c>
      <c r="AY8" s="122">
        <f>AY5</f>
        <v>10000</v>
      </c>
      <c r="BA8" s="122">
        <f>BA5</f>
        <v>0</v>
      </c>
      <c r="BB8" s="122">
        <f>BB5</f>
        <v>10000</v>
      </c>
      <c r="BD8" s="122">
        <f>BD5</f>
        <v>-1000</v>
      </c>
      <c r="BE8" s="122">
        <f>BE5</f>
        <v>9000</v>
      </c>
      <c r="BG8" s="122">
        <f>BG5</f>
        <v>0</v>
      </c>
      <c r="BH8" s="122">
        <f>BH5</f>
        <v>9000</v>
      </c>
      <c r="BJ8" s="122">
        <f>BJ5</f>
        <v>9000</v>
      </c>
      <c r="BK8" s="236">
        <f t="shared" ref="BK8" si="1">BJ8/BH8</f>
        <v>1</v>
      </c>
      <c r="BM8" s="122">
        <f>BM5</f>
        <v>10000</v>
      </c>
      <c r="BN8" s="236">
        <f t="shared" ref="BN8" si="2">BM8/BJ8</f>
        <v>1.1111111111111112</v>
      </c>
      <c r="BO8" s="236">
        <f t="shared" ref="BO8" si="3">BM8/BH8</f>
        <v>1.1111111111111112</v>
      </c>
      <c r="BQ8" s="122">
        <f>BQ5</f>
        <v>0</v>
      </c>
      <c r="BR8" s="122">
        <f>BR5</f>
        <v>10000</v>
      </c>
      <c r="BT8" s="122">
        <f>BT5</f>
        <v>0</v>
      </c>
      <c r="BU8" s="122">
        <f>BU5</f>
        <v>10000</v>
      </c>
      <c r="BW8" s="122">
        <f>BW5</f>
        <v>0</v>
      </c>
      <c r="BX8" s="122">
        <f>BX5</f>
        <v>10000</v>
      </c>
      <c r="BZ8" s="122">
        <f>BZ5</f>
        <v>0</v>
      </c>
      <c r="CA8" s="122">
        <f>CA5</f>
        <v>10000</v>
      </c>
      <c r="CC8" s="122">
        <f>CC5</f>
        <v>0</v>
      </c>
      <c r="CD8" s="122">
        <f>CD5</f>
        <v>10000</v>
      </c>
      <c r="CF8" s="122">
        <f>CF5</f>
        <v>0</v>
      </c>
      <c r="CG8" s="122">
        <f>CG5</f>
        <v>10000</v>
      </c>
      <c r="CI8" s="122">
        <f>CI5</f>
        <v>0</v>
      </c>
      <c r="CJ8" s="122">
        <f>CJ5</f>
        <v>10000</v>
      </c>
      <c r="CL8" s="319">
        <f>CL5</f>
        <v>0</v>
      </c>
      <c r="CM8" s="122">
        <f>CM5</f>
        <v>10000</v>
      </c>
      <c r="CO8" s="122">
        <f>CO5</f>
        <v>0</v>
      </c>
      <c r="CP8" s="122">
        <f>CP5</f>
        <v>10000</v>
      </c>
      <c r="CR8" s="122">
        <f>CR5</f>
        <v>0</v>
      </c>
      <c r="CS8" s="122">
        <f>CS5</f>
        <v>10000</v>
      </c>
      <c r="CU8" s="122">
        <f>CU5</f>
        <v>0</v>
      </c>
      <c r="CV8" s="122">
        <f>CV5</f>
        <v>10000</v>
      </c>
      <c r="CX8" s="122">
        <f>CX5</f>
        <v>0</v>
      </c>
      <c r="CY8" s="122">
        <f>CY5</f>
        <v>10000</v>
      </c>
      <c r="DA8" s="122">
        <f>DA5</f>
        <v>10000</v>
      </c>
      <c r="DC8" s="122">
        <f>DC5</f>
        <v>10000</v>
      </c>
      <c r="DE8" s="122">
        <f>DE5</f>
        <v>0</v>
      </c>
      <c r="DF8" s="122">
        <f>DF5</f>
        <v>10000</v>
      </c>
      <c r="DH8" s="122">
        <f>DH5</f>
        <v>0</v>
      </c>
      <c r="DI8" s="122">
        <f>DI5</f>
        <v>10000</v>
      </c>
      <c r="DK8" s="122">
        <f>DK5</f>
        <v>0</v>
      </c>
      <c r="DL8" s="122">
        <f>DL5</f>
        <v>10000</v>
      </c>
      <c r="DN8" s="122">
        <f>DN5</f>
        <v>0</v>
      </c>
      <c r="DO8" s="122">
        <f>DO5</f>
        <v>10000</v>
      </c>
      <c r="DQ8" s="122">
        <f>DQ5</f>
        <v>0</v>
      </c>
      <c r="DR8" s="122">
        <f>DR5</f>
        <v>10000</v>
      </c>
      <c r="DT8" s="122">
        <f>DT5</f>
        <v>0</v>
      </c>
      <c r="DU8" s="122">
        <f>DU5</f>
        <v>10000</v>
      </c>
      <c r="DW8" s="122">
        <f>DW5</f>
        <v>0</v>
      </c>
      <c r="DX8" s="122">
        <f>DX5</f>
        <v>10000</v>
      </c>
      <c r="DZ8" s="122">
        <f>DZ5</f>
        <v>0</v>
      </c>
      <c r="EA8" s="122">
        <f>EA5</f>
        <v>10000</v>
      </c>
      <c r="EC8" s="122">
        <f>EC5</f>
        <v>0</v>
      </c>
      <c r="ED8" s="122">
        <f>ED5</f>
        <v>10000</v>
      </c>
      <c r="EF8" s="122">
        <f>EF5</f>
        <v>0</v>
      </c>
      <c r="EG8" s="122">
        <f>EG5</f>
        <v>10000</v>
      </c>
      <c r="EI8" s="122">
        <f>EI5</f>
        <v>10000</v>
      </c>
      <c r="EK8" s="122">
        <f>EK5</f>
        <v>10000</v>
      </c>
      <c r="EL8" s="377">
        <f>EK8/EI8-1</f>
        <v>0</v>
      </c>
      <c r="EM8" s="122">
        <f>EM5</f>
        <v>0</v>
      </c>
      <c r="EN8" s="122">
        <f>EN5</f>
        <v>10000</v>
      </c>
      <c r="EP8" s="122">
        <f>EP5</f>
        <v>0</v>
      </c>
      <c r="EQ8" s="122">
        <f>EQ5</f>
        <v>10000</v>
      </c>
      <c r="ES8" s="122">
        <f>ES5</f>
        <v>0</v>
      </c>
      <c r="ET8" s="122">
        <f>ET5</f>
        <v>10000</v>
      </c>
      <c r="EV8" s="122">
        <f>EV5</f>
        <v>-3000</v>
      </c>
      <c r="EW8" s="122">
        <f>EW5</f>
        <v>7000</v>
      </c>
      <c r="EY8" s="122">
        <f>EY5</f>
        <v>0</v>
      </c>
      <c r="EZ8" s="122">
        <f>EZ5</f>
        <v>7000</v>
      </c>
      <c r="FB8" s="122">
        <f>FB5</f>
        <v>0</v>
      </c>
      <c r="FC8" s="122">
        <f>FC5</f>
        <v>7000</v>
      </c>
      <c r="FE8" s="122">
        <f>FE5</f>
        <v>0</v>
      </c>
      <c r="FF8" s="122">
        <f>FF5</f>
        <v>7000</v>
      </c>
      <c r="FH8" s="122">
        <f>FH5</f>
        <v>0</v>
      </c>
      <c r="FI8" s="122">
        <f>FI5</f>
        <v>7000</v>
      </c>
      <c r="FK8" s="122">
        <f>FK5</f>
        <v>0</v>
      </c>
      <c r="FL8" s="122">
        <f>FL5</f>
        <v>7000</v>
      </c>
      <c r="FN8" s="122">
        <f>FN5</f>
        <v>0</v>
      </c>
      <c r="FO8" s="122">
        <f>FO5</f>
        <v>7000</v>
      </c>
      <c r="FQ8" s="122">
        <v>0</v>
      </c>
      <c r="FR8" s="122">
        <v>7000</v>
      </c>
      <c r="FT8" s="122">
        <f>FT5</f>
        <v>7000</v>
      </c>
      <c r="FV8" s="122">
        <f>FV5</f>
        <v>10000</v>
      </c>
      <c r="FW8" s="235">
        <f t="shared" ref="FW8:FW10" si="4">FV8/FT8</f>
        <v>1.4285714285714286</v>
      </c>
      <c r="FY8" s="122">
        <f>FY5</f>
        <v>0</v>
      </c>
      <c r="FZ8" s="122">
        <f>FZ5</f>
        <v>10000</v>
      </c>
      <c r="GB8" s="122">
        <f>GB5</f>
        <v>0</v>
      </c>
      <c r="GC8" s="122">
        <f>GC5</f>
        <v>10000</v>
      </c>
      <c r="GE8" s="122">
        <f>GE5</f>
        <v>-2000</v>
      </c>
      <c r="GF8" s="122">
        <f>GF5</f>
        <v>8000</v>
      </c>
      <c r="GH8" s="122">
        <f>GH5</f>
        <v>0</v>
      </c>
      <c r="GI8" s="122">
        <f>GI5</f>
        <v>8000</v>
      </c>
      <c r="GK8" s="122">
        <f>GK5</f>
        <v>0</v>
      </c>
      <c r="GL8" s="122">
        <f>GL5</f>
        <v>8000</v>
      </c>
      <c r="GN8" s="122">
        <f>GN5</f>
        <v>0</v>
      </c>
      <c r="GO8" s="122">
        <f>GO5</f>
        <v>8000</v>
      </c>
      <c r="GQ8" s="122">
        <f>GQ5</f>
        <v>0</v>
      </c>
      <c r="GR8" s="122">
        <f>GR5</f>
        <v>8000</v>
      </c>
      <c r="GT8" s="122">
        <f>GT5</f>
        <v>0</v>
      </c>
      <c r="GU8" s="122">
        <f>GU5</f>
        <v>8000</v>
      </c>
      <c r="GW8" s="122">
        <f>GW5</f>
        <v>0</v>
      </c>
      <c r="GX8" s="122">
        <f>GX5</f>
        <v>8000</v>
      </c>
      <c r="GZ8" s="122">
        <f>GZ5</f>
        <v>0</v>
      </c>
      <c r="HA8" s="430">
        <f>HA5</f>
        <v>8000</v>
      </c>
      <c r="HC8" s="122">
        <f>HC5</f>
        <v>8000</v>
      </c>
      <c r="HE8" s="122">
        <f>HE5</f>
        <v>10000</v>
      </c>
      <c r="HF8" s="235">
        <f>HE8/HC8</f>
        <v>1.25</v>
      </c>
    </row>
    <row r="9" spans="1:214" ht="16.5" customHeight="1" thickTop="1">
      <c r="A9" s="13" t="s">
        <v>670</v>
      </c>
      <c r="B9" s="1" t="s">
        <v>115</v>
      </c>
      <c r="C9" s="4" t="s">
        <v>116</v>
      </c>
      <c r="D9" s="36"/>
      <c r="E9" s="51"/>
      <c r="F9" s="36"/>
      <c r="G9" s="51"/>
      <c r="H9" s="36"/>
      <c r="I9" s="36"/>
      <c r="J9" s="14"/>
      <c r="L9" s="121"/>
      <c r="M9" s="176"/>
      <c r="N9" s="176"/>
      <c r="Q9" s="121"/>
      <c r="R9" s="121"/>
      <c r="S9" s="121"/>
      <c r="T9" s="121"/>
      <c r="U9" s="223"/>
      <c r="V9"/>
      <c r="Y9" s="121"/>
      <c r="Z9" s="121"/>
      <c r="AA9" s="121"/>
      <c r="AB9" s="121"/>
      <c r="AE9" s="121"/>
      <c r="AF9" s="187"/>
      <c r="AH9" s="121"/>
      <c r="AI9" s="224"/>
      <c r="AK9" s="121"/>
      <c r="AL9" s="193"/>
      <c r="AM9" s="224"/>
      <c r="AN9" s="224"/>
      <c r="AP9"/>
      <c r="AR9" s="121"/>
      <c r="AS9" s="121"/>
      <c r="AU9" s="121"/>
      <c r="AV9" s="121"/>
      <c r="AX9" s="121"/>
      <c r="AY9" s="121"/>
      <c r="BA9" s="121"/>
      <c r="BB9" s="121"/>
      <c r="BD9" s="121"/>
      <c r="BE9" s="121"/>
      <c r="BG9" s="121"/>
      <c r="BH9" s="121"/>
      <c r="BJ9" s="121"/>
      <c r="BK9" s="291"/>
      <c r="BM9" s="121"/>
      <c r="BN9" s="291"/>
      <c r="BO9" s="291"/>
      <c r="BQ9" s="121"/>
      <c r="BR9" s="121"/>
      <c r="BT9" s="121"/>
      <c r="BU9" s="121"/>
      <c r="BW9" s="121"/>
      <c r="BX9" s="121"/>
      <c r="BZ9" s="121"/>
      <c r="CA9" s="121"/>
      <c r="CC9" s="121"/>
      <c r="CD9" s="121"/>
      <c r="CF9" s="121"/>
      <c r="CG9" s="121"/>
      <c r="CI9" s="121"/>
      <c r="CJ9" s="121"/>
      <c r="CL9" s="121"/>
      <c r="CM9" s="121"/>
      <c r="CO9" s="121"/>
      <c r="CP9" s="121"/>
      <c r="CR9" s="121"/>
      <c r="CS9" s="121"/>
      <c r="CU9" s="121"/>
      <c r="CV9" s="121"/>
      <c r="CX9" s="121"/>
      <c r="CY9" s="121"/>
      <c r="DA9" s="121"/>
      <c r="DC9" s="121"/>
      <c r="DE9" s="121"/>
      <c r="DF9" s="121"/>
      <c r="DH9" s="121"/>
      <c r="DI9" s="121"/>
      <c r="DK9" s="121"/>
      <c r="DL9" s="121"/>
      <c r="DN9" s="121"/>
      <c r="DO9" s="121"/>
      <c r="DQ9" s="121"/>
      <c r="DR9" s="121"/>
      <c r="DT9" s="121"/>
      <c r="DU9" s="121"/>
      <c r="DW9" s="121"/>
      <c r="DX9" s="121"/>
      <c r="DZ9" s="121"/>
      <c r="EA9" s="121"/>
      <c r="EC9" s="121"/>
      <c r="ED9" s="121"/>
      <c r="EF9" s="121"/>
      <c r="EG9" s="121"/>
      <c r="EI9" s="121"/>
      <c r="EK9" s="121"/>
      <c r="EL9" s="403"/>
      <c r="EM9" s="121"/>
      <c r="EN9" s="121"/>
      <c r="EP9" s="121"/>
      <c r="EQ9" s="121"/>
      <c r="ES9" s="121"/>
      <c r="ET9" s="121"/>
      <c r="EV9" s="121"/>
      <c r="EW9" s="121"/>
      <c r="EY9" s="299">
        <v>7700</v>
      </c>
      <c r="EZ9" s="15">
        <f>EW9+EY9</f>
        <v>7700</v>
      </c>
      <c r="FB9" s="36"/>
      <c r="FC9" s="15">
        <f>EZ9+FB9</f>
        <v>7700</v>
      </c>
      <c r="FE9" s="36"/>
      <c r="FF9" s="15">
        <f>FC9+FE9</f>
        <v>7700</v>
      </c>
      <c r="FH9" s="36"/>
      <c r="FI9" s="15">
        <f>FF9+FH9</f>
        <v>7700</v>
      </c>
      <c r="FK9" s="36"/>
      <c r="FL9" s="15">
        <f>FI9+FK9</f>
        <v>7700</v>
      </c>
      <c r="FN9" s="36"/>
      <c r="FO9" s="15">
        <f>FL9+FN9</f>
        <v>7700</v>
      </c>
      <c r="FQ9" s="36"/>
      <c r="FR9" s="15">
        <v>7700</v>
      </c>
      <c r="FT9" s="36">
        <v>7642.7</v>
      </c>
      <c r="FV9" s="121"/>
      <c r="FW9" s="235">
        <f t="shared" si="4"/>
        <v>0</v>
      </c>
      <c r="FY9" s="36"/>
      <c r="FZ9" s="15">
        <f>FV9+FY9</f>
        <v>0</v>
      </c>
      <c r="GB9" s="36"/>
      <c r="GC9" s="15">
        <f>FZ9+GB9</f>
        <v>0</v>
      </c>
      <c r="GE9" s="36"/>
      <c r="GF9" s="15">
        <f>GC9+GE9</f>
        <v>0</v>
      </c>
      <c r="GH9" s="36"/>
      <c r="GI9" s="15">
        <f>GF9+GH9</f>
        <v>0</v>
      </c>
      <c r="GK9" s="36"/>
      <c r="GL9" s="15">
        <f>GI9+GK9</f>
        <v>0</v>
      </c>
      <c r="GN9" s="36"/>
      <c r="GO9" s="15">
        <f>GL9+GN9</f>
        <v>0</v>
      </c>
      <c r="GQ9" s="36"/>
      <c r="GR9" s="15">
        <f>GO9+GQ9</f>
        <v>0</v>
      </c>
      <c r="GT9" s="36"/>
      <c r="GU9" s="15">
        <f>GR9+GT9</f>
        <v>0</v>
      </c>
      <c r="GW9" s="36"/>
      <c r="GX9" s="15">
        <f>GU9+GW9</f>
        <v>0</v>
      </c>
      <c r="GZ9" s="36"/>
      <c r="HA9" s="189">
        <f>GX9+GZ9</f>
        <v>0</v>
      </c>
      <c r="HE9" s="121"/>
      <c r="HF9" s="235" t="e">
        <f>HE9/HC9</f>
        <v>#DIV/0!</v>
      </c>
    </row>
    <row r="10" spans="1:214" ht="16.5" customHeight="1" thickBot="1">
      <c r="A10" s="54" t="s">
        <v>670</v>
      </c>
      <c r="B10" s="55" t="s">
        <v>316</v>
      </c>
      <c r="C10" s="283" t="s">
        <v>671</v>
      </c>
      <c r="D10" s="36"/>
      <c r="E10" s="51"/>
      <c r="F10" s="36"/>
      <c r="G10" s="51"/>
      <c r="H10" s="36"/>
      <c r="I10" s="36"/>
      <c r="J10" s="14"/>
      <c r="L10" s="121"/>
      <c r="M10" s="176"/>
      <c r="N10" s="176"/>
      <c r="Q10" s="121"/>
      <c r="R10" s="121"/>
      <c r="S10" s="121"/>
      <c r="T10" s="121"/>
      <c r="U10" s="223"/>
      <c r="V10"/>
      <c r="Y10" s="121"/>
      <c r="Z10" s="121"/>
      <c r="AA10" s="121"/>
      <c r="AB10" s="121"/>
      <c r="AE10" s="121"/>
      <c r="AF10" s="187"/>
      <c r="AH10" s="121"/>
      <c r="AI10" s="224"/>
      <c r="AK10" s="121"/>
      <c r="AL10" s="193"/>
      <c r="AM10" s="224"/>
      <c r="AN10" s="224"/>
      <c r="AP10"/>
      <c r="AR10" s="121"/>
      <c r="AS10" s="121"/>
      <c r="AU10" s="121"/>
      <c r="AV10" s="121"/>
      <c r="AX10" s="121"/>
      <c r="AY10" s="121"/>
      <c r="BA10" s="121"/>
      <c r="BB10" s="121"/>
      <c r="BD10" s="121"/>
      <c r="BE10" s="121"/>
      <c r="BG10" s="121"/>
      <c r="BH10" s="121"/>
      <c r="BJ10" s="121"/>
      <c r="BK10" s="291"/>
      <c r="BM10" s="121"/>
      <c r="BN10" s="291"/>
      <c r="BO10" s="291"/>
      <c r="BQ10" s="121"/>
      <c r="BR10" s="121"/>
      <c r="BT10" s="121"/>
      <c r="BU10" s="121"/>
      <c r="BW10" s="121"/>
      <c r="BX10" s="121"/>
      <c r="BZ10" s="121"/>
      <c r="CA10" s="121"/>
      <c r="CC10" s="121"/>
      <c r="CD10" s="121"/>
      <c r="CF10" s="121"/>
      <c r="CG10" s="121"/>
      <c r="CI10" s="121"/>
      <c r="CJ10" s="121"/>
      <c r="CL10" s="121"/>
      <c r="CM10" s="121"/>
      <c r="CO10" s="121"/>
      <c r="CP10" s="121"/>
      <c r="CR10" s="121"/>
      <c r="CS10" s="121"/>
      <c r="CU10" s="121"/>
      <c r="CV10" s="121"/>
      <c r="CX10" s="121"/>
      <c r="CY10" s="121"/>
      <c r="DA10" s="121"/>
      <c r="DC10" s="121"/>
      <c r="DE10" s="121"/>
      <c r="DF10" s="121"/>
      <c r="DH10" s="121"/>
      <c r="DI10" s="121"/>
      <c r="DK10" s="121"/>
      <c r="DL10" s="121"/>
      <c r="DN10" s="121"/>
      <c r="DO10" s="121"/>
      <c r="DQ10" s="121"/>
      <c r="DR10" s="121"/>
      <c r="DT10" s="121"/>
      <c r="DU10" s="121"/>
      <c r="DW10" s="121"/>
      <c r="DX10" s="121"/>
      <c r="DZ10" s="121"/>
      <c r="EA10" s="121"/>
      <c r="EC10" s="121"/>
      <c r="ED10" s="121"/>
      <c r="EF10" s="121"/>
      <c r="EG10" s="121"/>
      <c r="EI10" s="121"/>
      <c r="EK10" s="121"/>
      <c r="EL10" s="403"/>
      <c r="EM10" s="121"/>
      <c r="EN10" s="121"/>
      <c r="EP10" s="121"/>
      <c r="EQ10" s="121"/>
      <c r="ES10" s="121"/>
      <c r="ET10" s="121"/>
      <c r="EV10" s="121"/>
      <c r="EW10" s="121"/>
      <c r="EY10" s="122">
        <f>EY9</f>
        <v>7700</v>
      </c>
      <c r="EZ10" s="122">
        <f>EZ9</f>
        <v>7700</v>
      </c>
      <c r="FB10" s="122">
        <f>FB9</f>
        <v>0</v>
      </c>
      <c r="FC10" s="122">
        <f>FC9</f>
        <v>7700</v>
      </c>
      <c r="FE10" s="122">
        <f>FE9</f>
        <v>0</v>
      </c>
      <c r="FF10" s="122">
        <f>FF9</f>
        <v>7700</v>
      </c>
      <c r="FH10" s="122">
        <f>FH9</f>
        <v>0</v>
      </c>
      <c r="FI10" s="122">
        <f>FI9</f>
        <v>7700</v>
      </c>
      <c r="FK10" s="122">
        <f>FK9</f>
        <v>0</v>
      </c>
      <c r="FL10" s="122">
        <f>FL9</f>
        <v>7700</v>
      </c>
      <c r="FN10" s="122">
        <f>FN9</f>
        <v>0</v>
      </c>
      <c r="FO10" s="122">
        <f>FO9</f>
        <v>7700</v>
      </c>
      <c r="FQ10" s="122">
        <v>0</v>
      </c>
      <c r="FR10" s="122">
        <v>7700</v>
      </c>
      <c r="FT10" s="122">
        <f>FT9</f>
        <v>7642.7</v>
      </c>
      <c r="FV10" s="122">
        <f>FV9</f>
        <v>0</v>
      </c>
      <c r="FW10" s="235">
        <f t="shared" si="4"/>
        <v>0</v>
      </c>
      <c r="FY10" s="122">
        <f>FY9</f>
        <v>0</v>
      </c>
      <c r="FZ10" s="122">
        <f>FZ9</f>
        <v>0</v>
      </c>
      <c r="GB10" s="122">
        <f>GB9</f>
        <v>0</v>
      </c>
      <c r="GC10" s="122">
        <f>GC9</f>
        <v>0</v>
      </c>
      <c r="GE10" s="122">
        <f>GE9</f>
        <v>0</v>
      </c>
      <c r="GF10" s="122">
        <f>GF9</f>
        <v>0</v>
      </c>
      <c r="GH10" s="122">
        <f>GH9</f>
        <v>0</v>
      </c>
      <c r="GI10" s="122">
        <f>GI9</f>
        <v>0</v>
      </c>
      <c r="GK10" s="122">
        <f>GK9</f>
        <v>0</v>
      </c>
      <c r="GL10" s="122">
        <f>GL9</f>
        <v>0</v>
      </c>
      <c r="GN10" s="122">
        <f>GN9</f>
        <v>0</v>
      </c>
      <c r="GO10" s="122">
        <f>GO9</f>
        <v>0</v>
      </c>
      <c r="GQ10" s="122">
        <f>GQ9</f>
        <v>0</v>
      </c>
      <c r="GR10" s="122">
        <f>GR9</f>
        <v>0</v>
      </c>
      <c r="GT10" s="122">
        <f>GT9</f>
        <v>0</v>
      </c>
      <c r="GU10" s="122">
        <f>GU9</f>
        <v>0</v>
      </c>
      <c r="GW10" s="122">
        <f>GW9</f>
        <v>0</v>
      </c>
      <c r="GX10" s="122">
        <f>GX9</f>
        <v>0</v>
      </c>
      <c r="GZ10" s="122">
        <f>GZ9</f>
        <v>0</v>
      </c>
      <c r="HA10" s="430">
        <f>HA9</f>
        <v>0</v>
      </c>
      <c r="HC10" s="122">
        <f>HC9</f>
        <v>0</v>
      </c>
      <c r="HE10" s="122">
        <f>HE9</f>
        <v>0</v>
      </c>
      <c r="HF10" s="235" t="e">
        <f>HE10/HC10</f>
        <v>#DIV/0!</v>
      </c>
    </row>
    <row r="11" spans="1:214" ht="16.5" customHeight="1" thickTop="1">
      <c r="A11" s="1" t="s">
        <v>297</v>
      </c>
      <c r="B11" s="1" t="s">
        <v>146</v>
      </c>
      <c r="C11" s="4" t="s">
        <v>147</v>
      </c>
      <c r="D11" s="36"/>
      <c r="E11" s="51"/>
      <c r="F11" s="36"/>
      <c r="G11" s="51"/>
      <c r="H11" s="36"/>
      <c r="I11" s="36"/>
      <c r="J11" s="14"/>
      <c r="L11" s="121"/>
      <c r="M11" s="176"/>
      <c r="N11" s="176"/>
      <c r="Q11" s="121"/>
      <c r="R11" s="121"/>
      <c r="S11" s="121"/>
      <c r="T11" s="121"/>
      <c r="U11" s="223"/>
      <c r="V11"/>
      <c r="Y11" s="121"/>
      <c r="Z11" s="121"/>
      <c r="AA11" s="121"/>
      <c r="AB11" s="121"/>
      <c r="AE11" s="121"/>
      <c r="AF11" s="187"/>
      <c r="AH11" s="121"/>
      <c r="AI11" s="224"/>
      <c r="AK11" s="121"/>
      <c r="AL11" s="193"/>
      <c r="AM11" s="224"/>
      <c r="AN11" s="224"/>
      <c r="AP11"/>
      <c r="AR11" s="121"/>
      <c r="AS11" s="121"/>
      <c r="AU11" s="121"/>
      <c r="AV11" s="121"/>
      <c r="AX11" s="121"/>
      <c r="AY11" s="121"/>
      <c r="BA11" s="121"/>
      <c r="BB11" s="121"/>
      <c r="BD11" s="121"/>
      <c r="BE11" s="121"/>
      <c r="BG11" s="121"/>
      <c r="BH11" s="121"/>
      <c r="BJ11" s="121"/>
      <c r="BK11" s="291"/>
      <c r="BM11" s="121"/>
      <c r="BN11" s="291"/>
      <c r="BO11" s="291"/>
      <c r="BQ11" s="121"/>
      <c r="BR11" s="121"/>
      <c r="BT11" s="121"/>
      <c r="BU11" s="121"/>
      <c r="BW11" s="121"/>
      <c r="BX11" s="121"/>
      <c r="BZ11" s="121"/>
      <c r="CA11" s="121"/>
      <c r="CC11" s="121"/>
      <c r="CD11" s="121"/>
      <c r="CF11" s="121"/>
      <c r="CG11" s="121"/>
      <c r="CI11" s="121"/>
      <c r="CJ11" s="121"/>
      <c r="CL11" s="121"/>
      <c r="CM11" s="121"/>
      <c r="CO11" s="121"/>
      <c r="CP11" s="121"/>
      <c r="CR11" s="121"/>
      <c r="CS11" s="121"/>
      <c r="CU11" s="121"/>
      <c r="CV11" s="121"/>
      <c r="CX11" s="121"/>
      <c r="CY11" s="121"/>
      <c r="DA11" s="121"/>
      <c r="DC11" s="121"/>
      <c r="DE11" s="121"/>
      <c r="DF11" s="121"/>
      <c r="DH11" s="121"/>
      <c r="DI11" s="121"/>
      <c r="DK11" s="121"/>
      <c r="DL11" s="121"/>
      <c r="DN11" s="227">
        <v>2510</v>
      </c>
      <c r="DO11" s="15">
        <f t="shared" ref="DO11:DO12" si="5">DL11+DN11</f>
        <v>2510</v>
      </c>
      <c r="DQ11" s="15"/>
      <c r="DR11" s="15">
        <f t="shared" ref="DR11:DR12" si="6">DO11+DQ11</f>
        <v>2510</v>
      </c>
      <c r="DT11" s="15"/>
      <c r="DU11" s="15">
        <f t="shared" ref="DU11:DU12" si="7">DR11+DT11</f>
        <v>2510</v>
      </c>
      <c r="DW11" s="15"/>
      <c r="DX11" s="15">
        <f t="shared" ref="DX11:DX12" si="8">DU11+DW11</f>
        <v>2510</v>
      </c>
      <c r="DZ11" s="15"/>
      <c r="EA11" s="15">
        <f t="shared" ref="EA11:EA12" si="9">DX11+DZ11</f>
        <v>2510</v>
      </c>
      <c r="EC11" s="227">
        <v>2490</v>
      </c>
      <c r="ED11" s="15">
        <f t="shared" ref="ED11:ED12" si="10">EA11+EC11</f>
        <v>5000</v>
      </c>
      <c r="EF11" s="227">
        <v>-2000</v>
      </c>
      <c r="EG11" s="15">
        <f t="shared" ref="EG11:EG12" si="11">ED11+EF11</f>
        <v>3000</v>
      </c>
      <c r="EI11" s="15">
        <v>2502.2800000000002</v>
      </c>
      <c r="EK11" s="15"/>
      <c r="EM11" s="15"/>
      <c r="EN11" s="15">
        <f t="shared" ref="EN11:EN12" si="12">EK11+EM11</f>
        <v>0</v>
      </c>
      <c r="EP11" s="15"/>
      <c r="EQ11" s="15">
        <f t="shared" ref="EQ11:EQ12" si="13">EN11+EP11</f>
        <v>0</v>
      </c>
      <c r="ES11" s="15"/>
      <c r="ET11" s="15">
        <f t="shared" ref="ET11:ET12" si="14">EQ11+ES11</f>
        <v>0</v>
      </c>
      <c r="EW11" s="15">
        <f t="shared" ref="EW11:EW12" si="15">ET11+EV11</f>
        <v>0</v>
      </c>
      <c r="EZ11" s="15">
        <f t="shared" ref="EZ11:EZ12" si="16">EW11+EY11</f>
        <v>0</v>
      </c>
      <c r="FC11" s="15">
        <f t="shared" ref="FC11:FC12" si="17">EZ11+FB11</f>
        <v>0</v>
      </c>
      <c r="FF11" s="15">
        <f t="shared" ref="FF11:FF12" si="18">FC11+FE11</f>
        <v>0</v>
      </c>
      <c r="FI11" s="15">
        <f t="shared" ref="FI11:FI12" si="19">FF11+FH11</f>
        <v>0</v>
      </c>
      <c r="FL11" s="15">
        <f t="shared" ref="FL11:FL12" si="20">FI11+FK11</f>
        <v>0</v>
      </c>
      <c r="FO11" s="15">
        <f t="shared" ref="FO11:FO12" si="21">FL11+FN11</f>
        <v>0</v>
      </c>
      <c r="FR11" s="15">
        <v>0</v>
      </c>
      <c r="FZ11" s="15">
        <f>FV11+FY11</f>
        <v>0</v>
      </c>
      <c r="GB11" s="15"/>
      <c r="GC11" s="15">
        <f>FZ11+GB11</f>
        <v>0</v>
      </c>
      <c r="GE11" s="15"/>
      <c r="GF11" s="15">
        <f>GC11+GE11</f>
        <v>0</v>
      </c>
      <c r="GH11" s="15"/>
      <c r="GI11" s="15">
        <f>GF11+GH11</f>
        <v>0</v>
      </c>
      <c r="GK11" s="15"/>
      <c r="GL11" s="15">
        <f>GI11+GK11</f>
        <v>0</v>
      </c>
      <c r="GN11" s="15"/>
      <c r="GO11" s="15">
        <f>GL11+GN11</f>
        <v>0</v>
      </c>
      <c r="GQ11" s="15"/>
      <c r="GR11" s="15">
        <f>GO11+GQ11</f>
        <v>0</v>
      </c>
      <c r="GT11" s="15"/>
      <c r="GU11" s="15">
        <f>GR11+GT11</f>
        <v>0</v>
      </c>
      <c r="GW11" s="227">
        <v>2100</v>
      </c>
      <c r="GX11" s="15">
        <f>GU11+GW11</f>
        <v>2100</v>
      </c>
      <c r="GZ11" s="15"/>
      <c r="HA11" s="189">
        <f>GX11+GZ11</f>
        <v>2100</v>
      </c>
      <c r="HC11" s="189">
        <v>2004</v>
      </c>
    </row>
    <row r="12" spans="1:214" outlineLevel="1">
      <c r="A12" s="1" t="s">
        <v>297</v>
      </c>
      <c r="B12" s="1" t="s">
        <v>115</v>
      </c>
      <c r="C12" s="4" t="s">
        <v>116</v>
      </c>
      <c r="D12" s="43">
        <v>0</v>
      </c>
      <c r="E12" s="34">
        <v>0</v>
      </c>
      <c r="F12" s="43">
        <v>0</v>
      </c>
      <c r="G12" s="34">
        <v>0</v>
      </c>
      <c r="H12" s="46">
        <v>16335</v>
      </c>
      <c r="I12" s="36">
        <v>16335</v>
      </c>
      <c r="J12" s="14"/>
      <c r="M12" s="17" t="e">
        <f>L12/F12-1</f>
        <v>#DIV/0!</v>
      </c>
      <c r="N12" s="17">
        <f>L12/I12-1</f>
        <v>-1</v>
      </c>
      <c r="AF12" s="182"/>
      <c r="AH12" s="15"/>
      <c r="AK12" s="118">
        <v>25000</v>
      </c>
      <c r="AS12" s="15">
        <f t="shared" ref="AS12:AS20" si="22">AR12+AK12</f>
        <v>25000</v>
      </c>
      <c r="AU12" s="15">
        <v>14000</v>
      </c>
      <c r="AV12" s="15">
        <f t="shared" ref="AV12:AV14" si="23">AS12+AU12</f>
        <v>39000</v>
      </c>
      <c r="AX12" s="15"/>
      <c r="AY12" s="15">
        <f t="shared" ref="AY12:AY14" si="24">AV12+AX12</f>
        <v>39000</v>
      </c>
      <c r="BB12" s="15">
        <f t="shared" ref="BB12:BB14" si="25">AY12+BA12</f>
        <v>39000</v>
      </c>
      <c r="BD12" s="15">
        <v>21000</v>
      </c>
      <c r="BE12" s="15">
        <f t="shared" ref="BE12:BE14" si="26">BB12+BD12</f>
        <v>60000</v>
      </c>
      <c r="BG12" s="15"/>
      <c r="BH12" s="15">
        <f t="shared" ref="BH12:BH14" si="27">BE12+BG12</f>
        <v>60000</v>
      </c>
      <c r="BJ12" s="15">
        <v>47574.78</v>
      </c>
      <c r="BK12" s="235">
        <f t="shared" ref="BK12:BK13" si="28">BJ12/BH12</f>
        <v>0.79291299999999998</v>
      </c>
      <c r="BM12" s="15">
        <v>5000</v>
      </c>
      <c r="BN12" s="235">
        <f t="shared" ref="BN12:BN13" si="29">BM12/BJ12</f>
        <v>0.10509770092473365</v>
      </c>
      <c r="BO12" s="235">
        <f t="shared" ref="BO12:BO13" si="30">BM12/BH12</f>
        <v>8.3333333333333329E-2</v>
      </c>
      <c r="BQ12" s="15"/>
      <c r="BR12" s="15">
        <f>BM12+BQ12</f>
        <v>5000</v>
      </c>
      <c r="BT12" s="15"/>
      <c r="BU12" s="15">
        <f>BR12+BT12</f>
        <v>5000</v>
      </c>
      <c r="BW12" s="15"/>
      <c r="BX12" s="15">
        <f>BU12+BW12</f>
        <v>5000</v>
      </c>
      <c r="BZ12" s="15"/>
      <c r="CA12" s="15">
        <f>BX12+BZ12</f>
        <v>5000</v>
      </c>
      <c r="CC12" s="15"/>
      <c r="CD12" s="15">
        <f>CA12+CC12</f>
        <v>5000</v>
      </c>
      <c r="CF12" s="15"/>
      <c r="CG12" s="15">
        <f>CD12+CF12</f>
        <v>5000</v>
      </c>
      <c r="CI12" s="15"/>
      <c r="CJ12" s="15">
        <f>CG12+CI12</f>
        <v>5000</v>
      </c>
      <c r="CM12" s="15">
        <f>CJ12+CL12</f>
        <v>5000</v>
      </c>
      <c r="CP12" s="15">
        <f>CM12+CO12</f>
        <v>5000</v>
      </c>
      <c r="CS12" s="15">
        <f>CP12+CR12</f>
        <v>5000</v>
      </c>
      <c r="CU12" s="227">
        <v>-500</v>
      </c>
      <c r="CV12" s="15">
        <f>CS12+CU12</f>
        <v>4500</v>
      </c>
      <c r="CX12" s="227"/>
      <c r="CY12" s="15">
        <f>CV12+CX12</f>
        <v>4500</v>
      </c>
      <c r="DA12" s="15">
        <v>4235</v>
      </c>
      <c r="DC12" s="15">
        <v>20000</v>
      </c>
      <c r="DE12" s="15"/>
      <c r="DF12" s="15">
        <f t="shared" ref="DF12:DF14" si="31">DC12+DE12</f>
        <v>20000</v>
      </c>
      <c r="DH12" s="15"/>
      <c r="DI12" s="15">
        <f t="shared" ref="DI12" si="32">DF12+DH12</f>
        <v>20000</v>
      </c>
      <c r="DK12" s="15"/>
      <c r="DL12" s="15">
        <f t="shared" ref="DL12" si="33">DI12+DK12</f>
        <v>20000</v>
      </c>
      <c r="DN12" s="227">
        <v>-2510</v>
      </c>
      <c r="DO12" s="15">
        <f t="shared" si="5"/>
        <v>17490</v>
      </c>
      <c r="DQ12" s="15"/>
      <c r="DR12" s="15">
        <f t="shared" si="6"/>
        <v>17490</v>
      </c>
      <c r="DT12" s="15"/>
      <c r="DU12" s="15">
        <f t="shared" si="7"/>
        <v>17490</v>
      </c>
      <c r="DW12" s="15"/>
      <c r="DX12" s="15">
        <f t="shared" si="8"/>
        <v>17490</v>
      </c>
      <c r="DZ12" s="15"/>
      <c r="EA12" s="15">
        <f t="shared" si="9"/>
        <v>17490</v>
      </c>
      <c r="EC12" s="227">
        <v>-17490</v>
      </c>
      <c r="ED12" s="15">
        <f t="shared" si="10"/>
        <v>0</v>
      </c>
      <c r="EF12" s="15"/>
      <c r="EG12" s="15">
        <f t="shared" si="11"/>
        <v>0</v>
      </c>
      <c r="EI12" s="15">
        <v>0</v>
      </c>
      <c r="EK12" s="15"/>
      <c r="EM12" s="15"/>
      <c r="EN12" s="15">
        <f t="shared" si="12"/>
        <v>0</v>
      </c>
      <c r="EP12" s="15"/>
      <c r="EQ12" s="15">
        <f t="shared" si="13"/>
        <v>0</v>
      </c>
      <c r="ES12" s="15"/>
      <c r="ET12" s="15">
        <f t="shared" si="14"/>
        <v>0</v>
      </c>
      <c r="EW12" s="15">
        <f t="shared" si="15"/>
        <v>0</v>
      </c>
      <c r="EZ12" s="15">
        <f t="shared" si="16"/>
        <v>0</v>
      </c>
      <c r="FC12" s="15">
        <f t="shared" si="17"/>
        <v>0</v>
      </c>
      <c r="FF12" s="15">
        <f t="shared" si="18"/>
        <v>0</v>
      </c>
      <c r="FI12" s="15">
        <f t="shared" si="19"/>
        <v>0</v>
      </c>
      <c r="FL12" s="15">
        <f t="shared" si="20"/>
        <v>0</v>
      </c>
      <c r="FO12" s="15">
        <f t="shared" si="21"/>
        <v>0</v>
      </c>
      <c r="FR12" s="15">
        <v>0</v>
      </c>
      <c r="FZ12" s="15">
        <f>FV12+FY12</f>
        <v>0</v>
      </c>
      <c r="GB12" s="15"/>
      <c r="GC12" s="15">
        <f>FZ12+GB12</f>
        <v>0</v>
      </c>
      <c r="GE12" s="15"/>
      <c r="GF12" s="15">
        <f>GC12+GE12</f>
        <v>0</v>
      </c>
      <c r="GH12" s="15"/>
      <c r="GI12" s="15">
        <f>GF12+GH12</f>
        <v>0</v>
      </c>
      <c r="GK12" s="15"/>
      <c r="GL12" s="15">
        <f>GI12+GK12</f>
        <v>0</v>
      </c>
      <c r="GN12" s="15"/>
      <c r="GO12" s="15">
        <f>GL12+GN12</f>
        <v>0</v>
      </c>
      <c r="GQ12" s="15"/>
      <c r="GR12" s="15">
        <f>GO12+GQ12</f>
        <v>0</v>
      </c>
      <c r="GT12" s="15"/>
      <c r="GU12" s="15">
        <f>GR12+GT12</f>
        <v>0</v>
      </c>
      <c r="GW12" s="15"/>
      <c r="GX12" s="15">
        <f>GU12+GW12</f>
        <v>0</v>
      </c>
      <c r="GZ12" s="15"/>
      <c r="HA12" s="189">
        <f>GX12+GZ12</f>
        <v>0</v>
      </c>
    </row>
    <row r="13" spans="1:214" outlineLevel="1">
      <c r="A13" s="1" t="s">
        <v>297</v>
      </c>
      <c r="B13" s="1" t="s">
        <v>117</v>
      </c>
      <c r="C13" s="4" t="s">
        <v>118</v>
      </c>
      <c r="D13" s="43"/>
      <c r="E13" s="34"/>
      <c r="F13" s="43"/>
      <c r="G13" s="34"/>
      <c r="H13" s="46"/>
      <c r="I13" s="36"/>
      <c r="J13" s="14"/>
      <c r="M13" s="17"/>
      <c r="N13" s="17"/>
      <c r="AA13" s="118">
        <v>7350</v>
      </c>
      <c r="AB13" s="185">
        <f>AA13-Y13</f>
        <v>7350</v>
      </c>
      <c r="AC13" s="187">
        <f t="shared" ref="AC13:AC14" si="34">AA13-Y13</f>
        <v>7350</v>
      </c>
      <c r="AD13" s="187"/>
      <c r="AE13" s="118">
        <v>7350</v>
      </c>
      <c r="AF13" s="182"/>
      <c r="AH13" s="15">
        <v>7344</v>
      </c>
      <c r="AI13" s="17">
        <f t="shared" ref="AI13:AI14" si="35">AH13/AE13</f>
        <v>0.99918367346938775</v>
      </c>
      <c r="AK13" s="118">
        <f>25000*1.21+8*5500+250</f>
        <v>74500</v>
      </c>
      <c r="AS13" s="15">
        <f t="shared" si="22"/>
        <v>74500</v>
      </c>
      <c r="AV13" s="15">
        <f t="shared" si="23"/>
        <v>74500</v>
      </c>
      <c r="AX13" s="15"/>
      <c r="AY13" s="15">
        <f t="shared" si="24"/>
        <v>74500</v>
      </c>
      <c r="BB13" s="15">
        <f t="shared" si="25"/>
        <v>74500</v>
      </c>
      <c r="BD13" s="15">
        <v>525500</v>
      </c>
      <c r="BE13" s="15">
        <f t="shared" si="26"/>
        <v>600000</v>
      </c>
      <c r="BG13" s="15">
        <v>3200</v>
      </c>
      <c r="BH13" s="15">
        <f t="shared" si="27"/>
        <v>603200</v>
      </c>
      <c r="BJ13" s="15">
        <v>603114.38</v>
      </c>
      <c r="BK13" s="235">
        <f t="shared" si="28"/>
        <v>0.99985805702917774</v>
      </c>
      <c r="BM13" s="15">
        <v>130000</v>
      </c>
      <c r="BN13" s="235">
        <f t="shared" si="29"/>
        <v>0.21554783687963136</v>
      </c>
      <c r="BO13" s="235">
        <f t="shared" si="30"/>
        <v>0.21551724137931033</v>
      </c>
      <c r="BP13" t="s">
        <v>516</v>
      </c>
      <c r="BQ13" s="15"/>
      <c r="BR13" s="15">
        <f>BM13+BQ13</f>
        <v>130000</v>
      </c>
      <c r="BT13" s="15"/>
      <c r="BU13" s="15">
        <f>BR13+BT13</f>
        <v>130000</v>
      </c>
      <c r="BW13" s="15"/>
      <c r="BX13" s="15">
        <f>BU13+BW13</f>
        <v>130000</v>
      </c>
      <c r="BZ13" s="15"/>
      <c r="CA13" s="15">
        <f>BX13+BZ13</f>
        <v>130000</v>
      </c>
      <c r="CC13" s="15"/>
      <c r="CD13" s="15">
        <f>CA13+CC13</f>
        <v>130000</v>
      </c>
      <c r="CF13" s="15"/>
      <c r="CG13" s="15">
        <f>CD13+CF13</f>
        <v>130000</v>
      </c>
      <c r="CI13" s="15"/>
      <c r="CJ13" s="15">
        <f>CG13+CI13</f>
        <v>130000</v>
      </c>
      <c r="CL13" s="15">
        <v>0</v>
      </c>
      <c r="CM13" s="15">
        <f>CJ13+CL13</f>
        <v>130000</v>
      </c>
      <c r="CP13" s="15">
        <f>CM13+CO13</f>
        <v>130000</v>
      </c>
      <c r="CQ13" s="228"/>
      <c r="CS13" s="15">
        <f>CP13+CR13</f>
        <v>130000</v>
      </c>
      <c r="CU13" s="227">
        <v>-130000</v>
      </c>
      <c r="CV13" s="15">
        <f>CS13+CU13</f>
        <v>0</v>
      </c>
      <c r="CX13" s="227"/>
      <c r="CY13" s="15">
        <f>CV13+CX13</f>
        <v>0</v>
      </c>
      <c r="DE13" s="15"/>
      <c r="DF13" s="15">
        <f>DC13+DE13</f>
        <v>0</v>
      </c>
      <c r="DH13" s="15"/>
      <c r="DI13" s="15">
        <f>DF13+DH13</f>
        <v>0</v>
      </c>
      <c r="DK13" s="15"/>
      <c r="DL13" s="15">
        <f>DI13+DK13</f>
        <v>0</v>
      </c>
      <c r="DN13" s="15"/>
      <c r="DO13" s="15">
        <f>DL13+DN13</f>
        <v>0</v>
      </c>
      <c r="DQ13" s="15"/>
      <c r="DR13" s="15">
        <f>DO13+DQ13</f>
        <v>0</v>
      </c>
      <c r="DT13" s="15"/>
      <c r="DU13" s="15">
        <f>DR13+DT13</f>
        <v>0</v>
      </c>
      <c r="DW13" s="15"/>
      <c r="DX13" s="15">
        <f>DU13+DW13</f>
        <v>0</v>
      </c>
      <c r="DZ13" s="15"/>
      <c r="EA13" s="15">
        <f>DX13+DZ13</f>
        <v>0</v>
      </c>
      <c r="EC13" s="227">
        <v>2500</v>
      </c>
      <c r="ED13" s="15">
        <f>EA13+EC13</f>
        <v>2500</v>
      </c>
      <c r="EF13" s="15"/>
      <c r="EG13" s="15">
        <f>ED13+EF13</f>
        <v>2500</v>
      </c>
      <c r="EI13" s="15">
        <v>2481.23</v>
      </c>
      <c r="EK13" s="15">
        <v>100000</v>
      </c>
      <c r="EM13" s="15"/>
      <c r="EN13" s="15">
        <f>EK13+EM13</f>
        <v>100000</v>
      </c>
      <c r="EP13" s="15"/>
      <c r="EQ13" s="15">
        <f>EN13+EP13</f>
        <v>100000</v>
      </c>
      <c r="ES13" s="15"/>
      <c r="ET13" s="15">
        <f>EQ13+ES13</f>
        <v>100000</v>
      </c>
      <c r="EV13" s="227">
        <v>-30000</v>
      </c>
      <c r="EW13" s="15">
        <f>ET13+EV13</f>
        <v>70000</v>
      </c>
      <c r="EZ13" s="15">
        <f>EW13+EY13</f>
        <v>70000</v>
      </c>
      <c r="FB13" s="227">
        <v>-40000</v>
      </c>
      <c r="FC13" s="15">
        <f>EZ13+FB13</f>
        <v>30000</v>
      </c>
      <c r="FF13" s="15">
        <f>FC13+FE13</f>
        <v>30000</v>
      </c>
      <c r="FI13" s="15">
        <f>FF13+FH13</f>
        <v>30000</v>
      </c>
      <c r="FK13" s="227">
        <v>-10000</v>
      </c>
      <c r="FL13" s="15">
        <f>FI13+FK13</f>
        <v>20000</v>
      </c>
      <c r="FO13" s="15">
        <f>FL13+FN13</f>
        <v>20000</v>
      </c>
      <c r="FQ13" s="227">
        <v>-12400</v>
      </c>
      <c r="FR13" s="15">
        <v>7600</v>
      </c>
      <c r="FT13" s="15">
        <v>7564.32</v>
      </c>
      <c r="FV13" s="15">
        <v>500000</v>
      </c>
      <c r="FW13" s="235">
        <f t="shared" ref="FW13" si="36">FV13/FT13</f>
        <v>66.09979482623686</v>
      </c>
      <c r="FZ13" s="15">
        <f>FV13+FY13</f>
        <v>500000</v>
      </c>
      <c r="GB13" s="15"/>
      <c r="GC13" s="15">
        <f>FZ13+GB13</f>
        <v>500000</v>
      </c>
      <c r="GE13" s="15"/>
      <c r="GF13" s="15">
        <f>GC13+GE13</f>
        <v>500000</v>
      </c>
      <c r="GH13" s="15"/>
      <c r="GI13" s="15">
        <f>GF13+GH13</f>
        <v>500000</v>
      </c>
      <c r="GK13" s="15"/>
      <c r="GL13" s="15">
        <f>GI13+GK13</f>
        <v>500000</v>
      </c>
      <c r="GN13" s="227">
        <v>-28400</v>
      </c>
      <c r="GO13" s="15">
        <f>GL13+GN13</f>
        <v>471600</v>
      </c>
      <c r="GQ13" s="227">
        <v>-135000</v>
      </c>
      <c r="GR13" s="15">
        <f>GO13+GQ13</f>
        <v>336600</v>
      </c>
      <c r="GT13" s="227">
        <v>8400</v>
      </c>
      <c r="GU13" s="15">
        <f>GR13+GT13</f>
        <v>345000</v>
      </c>
      <c r="GW13" s="227">
        <v>5900</v>
      </c>
      <c r="GX13" s="15">
        <f>GU13+GW13</f>
        <v>350900</v>
      </c>
      <c r="GZ13" s="15"/>
      <c r="HA13" s="189">
        <f>GX13+GZ13</f>
        <v>350900</v>
      </c>
      <c r="HC13" s="189">
        <v>350830.12</v>
      </c>
      <c r="HE13" s="15">
        <v>150000</v>
      </c>
      <c r="HF13" s="235">
        <f>HE13/HC13</f>
        <v>0.42755736024033514</v>
      </c>
    </row>
    <row r="14" spans="1:214" outlineLevel="1">
      <c r="A14" s="1" t="s">
        <v>297</v>
      </c>
      <c r="B14" s="1" t="s">
        <v>208</v>
      </c>
      <c r="C14" s="4" t="s">
        <v>327</v>
      </c>
      <c r="D14" s="43"/>
      <c r="E14" s="34"/>
      <c r="F14" s="43"/>
      <c r="G14" s="34"/>
      <c r="H14" s="46"/>
      <c r="I14" s="36"/>
      <c r="J14" s="14"/>
      <c r="L14" s="118">
        <f>'[2]2020'!$Q$51</f>
        <v>100000</v>
      </c>
      <c r="M14" s="17" t="e">
        <f>L14/F14-1</f>
        <v>#DIV/0!</v>
      </c>
      <c r="N14" s="17" t="e">
        <f>L14/I14-1</f>
        <v>#DIV/0!</v>
      </c>
      <c r="Q14" s="118">
        <v>100000</v>
      </c>
      <c r="R14" s="15">
        <v>14800</v>
      </c>
      <c r="S14" s="118">
        <v>59000</v>
      </c>
      <c r="T14" s="157">
        <f>S14-Q14</f>
        <v>-41000</v>
      </c>
      <c r="U14" s="16">
        <f>S14/Q14-1</f>
        <v>-0.41000000000000003</v>
      </c>
      <c r="Y14" s="118">
        <v>59000</v>
      </c>
      <c r="AA14" s="118">
        <v>71200</v>
      </c>
      <c r="AB14" s="185">
        <f>AA14-Y14</f>
        <v>12200</v>
      </c>
      <c r="AC14" s="187">
        <f t="shared" si="34"/>
        <v>12200</v>
      </c>
      <c r="AD14" s="187"/>
      <c r="AE14" s="118">
        <v>71200</v>
      </c>
      <c r="AF14" s="182"/>
      <c r="AH14" s="15">
        <v>71065</v>
      </c>
      <c r="AI14" s="17">
        <f t="shared" si="35"/>
        <v>0.99810393258426966</v>
      </c>
      <c r="AK14" s="118">
        <v>456300</v>
      </c>
      <c r="AS14" s="15">
        <f t="shared" si="22"/>
        <v>456300</v>
      </c>
      <c r="AV14" s="15">
        <f t="shared" si="23"/>
        <v>456300</v>
      </c>
      <c r="AX14" s="15"/>
      <c r="AY14" s="15">
        <f t="shared" si="24"/>
        <v>456300</v>
      </c>
      <c r="BA14" s="227">
        <v>-33000</v>
      </c>
      <c r="BB14" s="15">
        <f t="shared" si="25"/>
        <v>423300</v>
      </c>
      <c r="BD14" s="15">
        <v>-423300</v>
      </c>
      <c r="BE14" s="15">
        <f t="shared" si="26"/>
        <v>0</v>
      </c>
      <c r="BG14" s="15"/>
      <c r="BH14" s="15">
        <f t="shared" si="27"/>
        <v>0</v>
      </c>
      <c r="BM14" s="290">
        <v>115000</v>
      </c>
      <c r="BN14" s="235"/>
      <c r="BO14" s="235"/>
      <c r="BQ14" s="15"/>
      <c r="BR14" s="15">
        <f>BM14+BQ14</f>
        <v>115000</v>
      </c>
      <c r="BT14" s="15"/>
      <c r="BU14" s="15">
        <f>BR14+BT14</f>
        <v>115000</v>
      </c>
      <c r="BW14" s="15"/>
      <c r="BX14" s="15">
        <f>BU14+BW14</f>
        <v>115000</v>
      </c>
      <c r="BZ14" s="15"/>
      <c r="CA14" s="15">
        <f>BX14+BZ14</f>
        <v>115000</v>
      </c>
      <c r="CC14" s="15"/>
      <c r="CD14" s="15">
        <f>CA14+CC14</f>
        <v>115000</v>
      </c>
      <c r="CF14" s="15"/>
      <c r="CG14" s="15">
        <f>CD14+CF14</f>
        <v>115000</v>
      </c>
      <c r="CI14" s="15"/>
      <c r="CJ14" s="15">
        <f>CG14+CI14</f>
        <v>115000</v>
      </c>
      <c r="CL14" s="15">
        <v>-49300</v>
      </c>
      <c r="CM14" s="15">
        <f>CJ14+CL14</f>
        <v>65700</v>
      </c>
      <c r="CO14" s="15">
        <v>-50300</v>
      </c>
      <c r="CP14" s="15">
        <f>CM14+CO14</f>
        <v>15400</v>
      </c>
      <c r="CS14" s="15">
        <f>CP14+CR14</f>
        <v>15400</v>
      </c>
      <c r="CU14" s="227">
        <v>-15400</v>
      </c>
      <c r="CV14" s="15">
        <f>CS14+CU14</f>
        <v>0</v>
      </c>
      <c r="CX14" s="227"/>
      <c r="CY14" s="15">
        <f>CV14+CX14</f>
        <v>0</v>
      </c>
      <c r="DE14" s="15"/>
      <c r="DF14" s="15">
        <f t="shared" si="31"/>
        <v>0</v>
      </c>
      <c r="DH14" s="15"/>
      <c r="DI14" s="15">
        <f t="shared" ref="DI14" si="37">DF14+DH14</f>
        <v>0</v>
      </c>
      <c r="DK14" s="15"/>
      <c r="DL14" s="15">
        <f t="shared" ref="DL14" si="38">DI14+DK14</f>
        <v>0</v>
      </c>
      <c r="DN14" s="15"/>
      <c r="DO14" s="15">
        <f t="shared" ref="DO14" si="39">DL14+DN14</f>
        <v>0</v>
      </c>
      <c r="DQ14" s="15"/>
      <c r="DR14" s="15">
        <f t="shared" ref="DR14" si="40">DO14+DQ14</f>
        <v>0</v>
      </c>
      <c r="DT14" s="15"/>
      <c r="DU14" s="15">
        <f t="shared" ref="DU14" si="41">DR14+DT14</f>
        <v>0</v>
      </c>
      <c r="DW14" s="15"/>
      <c r="DX14" s="15">
        <f t="shared" ref="DX14" si="42">DU14+DW14</f>
        <v>0</v>
      </c>
      <c r="DZ14" s="15"/>
      <c r="EA14" s="15">
        <f t="shared" ref="EA14" si="43">DX14+DZ14</f>
        <v>0</v>
      </c>
      <c r="EC14" s="15"/>
      <c r="ED14" s="15">
        <f t="shared" ref="ED14" si="44">EA14+EC14</f>
        <v>0</v>
      </c>
      <c r="EF14" s="15"/>
      <c r="EG14" s="15">
        <f t="shared" ref="EG14" si="45">ED14+EF14</f>
        <v>0</v>
      </c>
      <c r="EK14" s="15"/>
      <c r="EM14" s="15"/>
      <c r="EN14" s="15">
        <f t="shared" ref="EN14" si="46">EK14+EM14</f>
        <v>0</v>
      </c>
      <c r="EP14" s="15"/>
      <c r="EQ14" s="15">
        <f t="shared" ref="EQ14" si="47">EN14+EP14</f>
        <v>0</v>
      </c>
      <c r="ES14" s="15"/>
      <c r="ET14" s="15">
        <f t="shared" ref="ET14" si="48">EQ14+ES14</f>
        <v>0</v>
      </c>
      <c r="EW14" s="15">
        <f t="shared" ref="EW14" si="49">ET14+EV14</f>
        <v>0</v>
      </c>
      <c r="EZ14" s="15">
        <f t="shared" ref="EZ14" si="50">EW14+EY14</f>
        <v>0</v>
      </c>
      <c r="FC14" s="15">
        <f t="shared" ref="FC14" si="51">EZ14+FB14</f>
        <v>0</v>
      </c>
      <c r="FF14" s="15">
        <f t="shared" ref="FF14" si="52">FC14+FE14</f>
        <v>0</v>
      </c>
      <c r="FI14" s="15">
        <f t="shared" ref="FI14" si="53">FF14+FH14</f>
        <v>0</v>
      </c>
      <c r="FL14" s="15">
        <f t="shared" ref="FL14" si="54">FI14+FK14</f>
        <v>0</v>
      </c>
      <c r="FO14" s="15">
        <f t="shared" ref="FO14" si="55">FL14+FN14</f>
        <v>0</v>
      </c>
      <c r="FR14" s="15">
        <v>0</v>
      </c>
      <c r="FZ14" s="15">
        <f>FV14+FY14</f>
        <v>0</v>
      </c>
      <c r="GB14" s="15"/>
      <c r="GC14" s="15">
        <f>FZ14+GB14</f>
        <v>0</v>
      </c>
      <c r="GE14" s="15"/>
      <c r="GF14" s="15">
        <f>GC14+GE14</f>
        <v>0</v>
      </c>
      <c r="GH14" s="15"/>
      <c r="GI14" s="15">
        <f>GF14+GH14</f>
        <v>0</v>
      </c>
      <c r="GK14" s="15"/>
      <c r="GL14" s="15">
        <f>GI14+GK14</f>
        <v>0</v>
      </c>
      <c r="GN14" s="15"/>
      <c r="GO14" s="15">
        <f>GL14+GN14</f>
        <v>0</v>
      </c>
      <c r="GQ14" s="15"/>
      <c r="GR14" s="15">
        <f>GO14+GQ14</f>
        <v>0</v>
      </c>
      <c r="GT14" s="15"/>
      <c r="GU14" s="15">
        <f>GR14+GT14</f>
        <v>0</v>
      </c>
      <c r="GW14" s="15"/>
      <c r="GX14" s="15">
        <f>GU14+GW14</f>
        <v>0</v>
      </c>
      <c r="GZ14" s="15"/>
      <c r="HA14" s="189">
        <f>GX14+GZ14</f>
        <v>0</v>
      </c>
    </row>
    <row r="15" spans="1:214" outlineLevel="1">
      <c r="A15" s="1" t="s">
        <v>297</v>
      </c>
      <c r="B15" s="4" t="s">
        <v>46</v>
      </c>
      <c r="C15" s="4" t="s">
        <v>298</v>
      </c>
      <c r="D15" s="43">
        <v>0</v>
      </c>
      <c r="E15" s="34">
        <v>0</v>
      </c>
      <c r="F15" s="43">
        <v>0</v>
      </c>
      <c r="G15" s="34">
        <v>0</v>
      </c>
      <c r="H15" s="46">
        <v>16335</v>
      </c>
      <c r="I15" s="36"/>
      <c r="J15" s="14"/>
      <c r="Y15" s="118"/>
      <c r="AF15" s="182"/>
      <c r="AH15" s="15"/>
      <c r="AS15" s="15"/>
      <c r="AX15" s="15"/>
      <c r="BD15" s="15"/>
      <c r="BG15" s="15"/>
      <c r="DE15" s="15"/>
      <c r="DH15" s="15"/>
      <c r="DK15" s="15"/>
      <c r="DN15" s="15"/>
      <c r="DQ15" s="15"/>
      <c r="DT15" s="15"/>
      <c r="DW15" s="15"/>
      <c r="DZ15" s="15"/>
      <c r="EC15" s="15"/>
      <c r="EF15" s="15"/>
      <c r="EK15" s="15"/>
      <c r="EM15" s="15"/>
      <c r="EP15" s="15"/>
      <c r="ES15" s="15"/>
      <c r="GB15" s="15"/>
      <c r="GE15" s="15"/>
      <c r="GH15" s="15"/>
      <c r="GK15" s="15"/>
      <c r="GN15" s="15"/>
      <c r="GQ15" s="15"/>
      <c r="GT15" s="15"/>
      <c r="GW15" s="15"/>
      <c r="GZ15" s="15"/>
    </row>
    <row r="16" spans="1:214" outlineLevel="1">
      <c r="A16" s="1" t="s">
        <v>112</v>
      </c>
      <c r="B16" s="1" t="s">
        <v>113</v>
      </c>
      <c r="C16" s="4" t="s">
        <v>114</v>
      </c>
      <c r="D16" s="43">
        <v>20000</v>
      </c>
      <c r="E16" s="34">
        <v>0</v>
      </c>
      <c r="F16" s="43">
        <v>20000</v>
      </c>
      <c r="G16" s="34">
        <v>0</v>
      </c>
      <c r="H16" s="46">
        <v>0</v>
      </c>
      <c r="I16" s="36"/>
      <c r="J16" s="14"/>
      <c r="L16" s="118">
        <v>0</v>
      </c>
      <c r="M16" s="17">
        <f>L16/F16-1</f>
        <v>-1</v>
      </c>
      <c r="N16" s="17" t="e">
        <f>L16/I16-1</f>
        <v>#DIV/0!</v>
      </c>
      <c r="Y16" s="118"/>
      <c r="AF16" s="182"/>
      <c r="AH16" s="15"/>
      <c r="AS16" s="15"/>
      <c r="AX16" s="15"/>
      <c r="BD16" s="15"/>
      <c r="BG16" s="15"/>
      <c r="DE16" s="15"/>
      <c r="DH16" s="15"/>
      <c r="DK16" s="15"/>
      <c r="DN16" s="15"/>
      <c r="DQ16" s="15"/>
      <c r="DT16" s="15"/>
      <c r="DW16" s="15"/>
      <c r="DZ16" s="15"/>
      <c r="EC16" s="15"/>
      <c r="EF16" s="15"/>
      <c r="EK16" s="15"/>
      <c r="EM16" s="15"/>
      <c r="EP16" s="15"/>
      <c r="ES16" s="15"/>
      <c r="GB16" s="15"/>
      <c r="GE16" s="15"/>
      <c r="GH16" s="15"/>
      <c r="GK16" s="15"/>
      <c r="GN16" s="15"/>
      <c r="GQ16" s="15"/>
      <c r="GT16" s="15"/>
      <c r="GW16" s="15"/>
      <c r="GZ16" s="15"/>
    </row>
    <row r="17" spans="1:214" outlineLevel="1">
      <c r="A17" s="1" t="s">
        <v>112</v>
      </c>
      <c r="B17" s="1" t="s">
        <v>146</v>
      </c>
      <c r="C17" s="4" t="s">
        <v>147</v>
      </c>
      <c r="D17" s="43">
        <v>0</v>
      </c>
      <c r="E17" s="34">
        <v>0</v>
      </c>
      <c r="F17" s="43">
        <v>0</v>
      </c>
      <c r="G17" s="34">
        <v>0</v>
      </c>
      <c r="H17" s="46">
        <v>1029</v>
      </c>
      <c r="I17" s="36">
        <v>1029</v>
      </c>
      <c r="J17" s="14"/>
      <c r="L17" s="118">
        <v>1000</v>
      </c>
      <c r="M17" s="17" t="e">
        <f>L17/F17-1</f>
        <v>#DIV/0!</v>
      </c>
      <c r="N17" s="17">
        <f>L17/I17-1</f>
        <v>-2.8182701652089359E-2</v>
      </c>
      <c r="Q17" s="118">
        <v>1000</v>
      </c>
      <c r="R17" s="15">
        <v>0</v>
      </c>
      <c r="S17" s="118">
        <v>1000</v>
      </c>
      <c r="T17" s="157">
        <f>S17-Q17</f>
        <v>0</v>
      </c>
      <c r="U17" s="16">
        <f>S17/Q17-1</f>
        <v>0</v>
      </c>
      <c r="Y17" s="118">
        <v>1000</v>
      </c>
      <c r="AA17" s="118">
        <v>0</v>
      </c>
      <c r="AB17" s="185">
        <f>AA17-Y17</f>
        <v>-1000</v>
      </c>
      <c r="AC17" s="187">
        <f t="shared" ref="AC17:AC20" si="56">AA17-Y17</f>
        <v>-1000</v>
      </c>
      <c r="AD17" s="187"/>
      <c r="AE17" s="118">
        <v>0</v>
      </c>
      <c r="AF17" s="182"/>
      <c r="AH17" s="15">
        <v>0</v>
      </c>
      <c r="AI17" s="17"/>
      <c r="AS17" s="15"/>
      <c r="AX17" s="15"/>
      <c r="BD17" s="15"/>
      <c r="BG17" s="15"/>
      <c r="CL17" s="15">
        <v>2500</v>
      </c>
      <c r="CM17" s="15">
        <f>CJ17+CL17</f>
        <v>2500</v>
      </c>
      <c r="CP17" s="15">
        <f>CM17+CO17</f>
        <v>2500</v>
      </c>
      <c r="CS17" s="15">
        <f>CP17+CR17</f>
        <v>2500</v>
      </c>
      <c r="CV17" s="15">
        <f>CS17+CU17</f>
        <v>2500</v>
      </c>
      <c r="CY17" s="15">
        <f>CV17+CX17</f>
        <v>2500</v>
      </c>
      <c r="DA17" s="15">
        <v>2473.2399999999998</v>
      </c>
      <c r="DE17" s="15"/>
      <c r="DH17" s="15"/>
      <c r="DK17" s="15"/>
      <c r="DN17" s="15"/>
      <c r="DQ17" s="15"/>
      <c r="DT17" s="15"/>
      <c r="DW17" s="15"/>
      <c r="DZ17" s="15"/>
      <c r="EC17" s="15"/>
      <c r="EF17" s="15"/>
      <c r="EK17" s="15"/>
      <c r="EM17" s="15"/>
      <c r="EP17" s="15"/>
      <c r="ES17" s="15"/>
      <c r="GB17" s="15"/>
      <c r="GE17" s="15"/>
      <c r="GH17" s="15"/>
      <c r="GK17" s="15"/>
      <c r="GN17" s="15"/>
      <c r="GQ17" s="15"/>
      <c r="GT17" s="15"/>
      <c r="GW17" s="15"/>
      <c r="GZ17" s="15"/>
    </row>
    <row r="18" spans="1:214" outlineLevel="1">
      <c r="A18" s="1" t="s">
        <v>112</v>
      </c>
      <c r="B18" s="1" t="s">
        <v>115</v>
      </c>
      <c r="C18" s="4" t="s">
        <v>116</v>
      </c>
      <c r="D18" s="43">
        <v>220000</v>
      </c>
      <c r="E18" s="34">
        <v>0</v>
      </c>
      <c r="F18" s="43">
        <v>220000</v>
      </c>
      <c r="G18" s="34">
        <v>0</v>
      </c>
      <c r="H18" s="46">
        <v>0</v>
      </c>
      <c r="I18" s="36"/>
      <c r="J18" s="14"/>
      <c r="L18" s="118">
        <v>5000</v>
      </c>
      <c r="M18" s="17">
        <f>L18/F18-1</f>
        <v>-0.97727272727272729</v>
      </c>
      <c r="N18" s="17" t="e">
        <f>L18/I18-1</f>
        <v>#DIV/0!</v>
      </c>
      <c r="Q18" s="118">
        <v>5000</v>
      </c>
      <c r="R18" s="15">
        <v>0</v>
      </c>
      <c r="S18" s="118">
        <v>1000</v>
      </c>
      <c r="T18" s="157">
        <f>S18-Q18</f>
        <v>-4000</v>
      </c>
      <c r="U18" s="16">
        <f>S18/Q18-1</f>
        <v>-0.8</v>
      </c>
      <c r="Y18" s="118">
        <v>1000</v>
      </c>
      <c r="AA18" s="118">
        <v>0</v>
      </c>
      <c r="AB18" s="185">
        <f>AA18-Y18</f>
        <v>-1000</v>
      </c>
      <c r="AC18" s="187">
        <f t="shared" si="56"/>
        <v>-1000</v>
      </c>
      <c r="AD18" s="187"/>
      <c r="AE18" s="118">
        <v>0</v>
      </c>
      <c r="AF18" s="182"/>
      <c r="AH18" s="15">
        <v>0</v>
      </c>
      <c r="AI18" s="17"/>
      <c r="AS18" s="15"/>
      <c r="AX18" s="15"/>
      <c r="BD18" s="15"/>
      <c r="BG18" s="15"/>
      <c r="DC18" s="15">
        <v>115000</v>
      </c>
      <c r="DE18" s="15"/>
      <c r="DF18" s="15">
        <f t="shared" ref="DF18" si="57">DC18+DE18</f>
        <v>115000</v>
      </c>
      <c r="DH18" s="15"/>
      <c r="DI18" s="15">
        <f t="shared" ref="DI18" si="58">DF18+DH18</f>
        <v>115000</v>
      </c>
      <c r="DK18" s="15"/>
      <c r="DL18" s="15">
        <f t="shared" ref="DL18" si="59">DI18+DK18</f>
        <v>115000</v>
      </c>
      <c r="DN18" s="15"/>
      <c r="DO18" s="15">
        <f t="shared" ref="DO18" si="60">DL18+DN18</f>
        <v>115000</v>
      </c>
      <c r="DQ18" s="15"/>
      <c r="DR18" s="15">
        <f t="shared" ref="DR18" si="61">DO18+DQ18</f>
        <v>115000</v>
      </c>
      <c r="DT18" s="15"/>
      <c r="DU18" s="15">
        <f t="shared" ref="DU18" si="62">DR18+DT18</f>
        <v>115000</v>
      </c>
      <c r="DW18" s="15"/>
      <c r="DX18" s="15">
        <f t="shared" ref="DX18" si="63">DU18+DW18</f>
        <v>115000</v>
      </c>
      <c r="DZ18" s="15"/>
      <c r="EA18" s="15">
        <f t="shared" ref="EA18" si="64">DX18+DZ18</f>
        <v>115000</v>
      </c>
      <c r="EC18" s="227">
        <v>-115000</v>
      </c>
      <c r="ED18" s="15">
        <f t="shared" ref="ED18" si="65">EA18+EC18</f>
        <v>0</v>
      </c>
      <c r="EF18" s="15"/>
      <c r="EG18" s="15">
        <f t="shared" ref="EG18" si="66">ED18+EF18</f>
        <v>0</v>
      </c>
      <c r="EK18" s="15">
        <v>115000</v>
      </c>
      <c r="EM18" s="15"/>
      <c r="EN18" s="15">
        <f t="shared" ref="EN18" si="67">EK18+EM18</f>
        <v>115000</v>
      </c>
      <c r="EP18" s="15"/>
      <c r="EQ18" s="15">
        <f t="shared" ref="EQ18" si="68">EN18+EP18</f>
        <v>115000</v>
      </c>
      <c r="ES18" s="15"/>
      <c r="ET18" s="15">
        <f t="shared" ref="ET18" si="69">EQ18+ES18</f>
        <v>115000</v>
      </c>
      <c r="EW18" s="15">
        <f t="shared" ref="EW18" si="70">ET18+EV18</f>
        <v>115000</v>
      </c>
      <c r="EZ18" s="15">
        <f t="shared" ref="EZ18" si="71">EW18+EY18</f>
        <v>115000</v>
      </c>
      <c r="FC18" s="15">
        <f t="shared" ref="FC18" si="72">EZ18+FB18</f>
        <v>115000</v>
      </c>
      <c r="FE18" s="227">
        <v>-2000</v>
      </c>
      <c r="FF18" s="15">
        <f t="shared" ref="FF18" si="73">FC18+FE18</f>
        <v>113000</v>
      </c>
      <c r="FH18" s="227">
        <v>-14700</v>
      </c>
      <c r="FI18" s="15">
        <f t="shared" ref="FI18" si="74">FF18+FH18</f>
        <v>98300</v>
      </c>
      <c r="FK18" s="227">
        <v>-88300</v>
      </c>
      <c r="FL18" s="15">
        <f t="shared" ref="FL18" si="75">FI18+FK18</f>
        <v>10000</v>
      </c>
      <c r="FN18" s="227">
        <v>-10000</v>
      </c>
      <c r="FO18" s="15">
        <f t="shared" ref="FO18" si="76">FL18+FN18</f>
        <v>0</v>
      </c>
      <c r="FR18" s="15">
        <v>0</v>
      </c>
      <c r="FW18" s="235" t="e">
        <f t="shared" ref="FW18" si="77">FV18/FT18</f>
        <v>#DIV/0!</v>
      </c>
      <c r="FZ18" s="15">
        <f>FV18+FY18</f>
        <v>0</v>
      </c>
      <c r="GB18" s="15"/>
      <c r="GC18" s="15">
        <f>FZ18+GB18</f>
        <v>0</v>
      </c>
      <c r="GE18" s="15"/>
      <c r="GF18" s="15">
        <f>GC18+GE18</f>
        <v>0</v>
      </c>
      <c r="GH18" s="15"/>
      <c r="GI18" s="15">
        <f>GF18+GH18</f>
        <v>0</v>
      </c>
      <c r="GK18" s="15"/>
      <c r="GL18" s="15">
        <f>GI18+GK18</f>
        <v>0</v>
      </c>
      <c r="GN18" s="15"/>
      <c r="GO18" s="15">
        <f>GL18+GN18</f>
        <v>0</v>
      </c>
      <c r="GQ18" s="15"/>
      <c r="GR18" s="15">
        <f>GO18+GQ18</f>
        <v>0</v>
      </c>
      <c r="GT18" s="15"/>
      <c r="GU18" s="15">
        <f>GR18+GT18</f>
        <v>0</v>
      </c>
      <c r="GW18" s="15"/>
      <c r="GX18" s="15">
        <f>GU18+GW18</f>
        <v>0</v>
      </c>
      <c r="GZ18" s="15"/>
      <c r="HA18" s="189">
        <f>GX18+GZ18</f>
        <v>0</v>
      </c>
      <c r="HE18" s="15">
        <v>0</v>
      </c>
      <c r="HF18" s="235" t="e">
        <f>HE18/HC18</f>
        <v>#DIV/0!</v>
      </c>
    </row>
    <row r="19" spans="1:214" outlineLevel="1">
      <c r="A19" s="1" t="s">
        <v>112</v>
      </c>
      <c r="B19" s="1" t="s">
        <v>117</v>
      </c>
      <c r="C19" s="4" t="s">
        <v>118</v>
      </c>
      <c r="D19" s="43">
        <v>110000</v>
      </c>
      <c r="E19" s="34">
        <v>53.96</v>
      </c>
      <c r="F19" s="43">
        <v>110000</v>
      </c>
      <c r="G19" s="34">
        <v>53.96</v>
      </c>
      <c r="H19" s="46">
        <v>59358</v>
      </c>
      <c r="I19" s="48">
        <v>61000</v>
      </c>
      <c r="L19" s="118">
        <v>30000</v>
      </c>
      <c r="M19" s="17">
        <f>L19/F19-1</f>
        <v>-0.72727272727272729</v>
      </c>
      <c r="N19" s="17">
        <f>L19/I19-1</f>
        <v>-0.50819672131147542</v>
      </c>
      <c r="Q19" s="118">
        <v>30000</v>
      </c>
      <c r="R19" s="15">
        <v>0</v>
      </c>
      <c r="S19" s="118">
        <v>5000</v>
      </c>
      <c r="T19" s="157">
        <f>S19-Q19</f>
        <v>-25000</v>
      </c>
      <c r="U19" s="16">
        <f>S19/Q19-1</f>
        <v>-0.83333333333333337</v>
      </c>
      <c r="Y19" s="118">
        <v>5000</v>
      </c>
      <c r="AA19" s="118">
        <v>1000</v>
      </c>
      <c r="AB19" s="185">
        <f>AA19-Y19</f>
        <v>-4000</v>
      </c>
      <c r="AC19" s="187">
        <f t="shared" si="56"/>
        <v>-4000</v>
      </c>
      <c r="AD19" s="187"/>
      <c r="AE19" s="118">
        <v>1000</v>
      </c>
      <c r="AF19" s="182"/>
      <c r="AH19" s="15">
        <v>0</v>
      </c>
      <c r="AI19" s="17">
        <f t="shared" ref="AI19:AI20" si="78">AH19/AE19</f>
        <v>0</v>
      </c>
      <c r="AS19" s="15"/>
      <c r="AX19" s="15"/>
      <c r="BD19" s="15"/>
      <c r="BG19" s="15"/>
      <c r="DE19" s="15"/>
      <c r="DH19" s="15"/>
      <c r="DK19" s="15"/>
      <c r="DN19" s="15"/>
      <c r="DQ19" s="15"/>
      <c r="DT19" s="15"/>
      <c r="DW19" s="15"/>
      <c r="DZ19" s="15"/>
      <c r="EC19" s="15"/>
      <c r="EF19" s="15"/>
      <c r="EK19" s="15"/>
      <c r="EM19" s="15"/>
      <c r="EP19" s="15"/>
      <c r="ES19" s="15"/>
      <c r="GB19" s="15"/>
      <c r="GE19" s="15"/>
      <c r="GH19" s="15"/>
      <c r="GK19" s="15"/>
      <c r="GN19" s="15"/>
      <c r="GQ19" s="15"/>
      <c r="GT19" s="15"/>
      <c r="GW19" s="15"/>
      <c r="GZ19" s="15"/>
    </row>
    <row r="20" spans="1:214" outlineLevel="1">
      <c r="A20" s="1" t="s">
        <v>112</v>
      </c>
      <c r="B20" s="1" t="s">
        <v>208</v>
      </c>
      <c r="C20" s="4" t="s">
        <v>327</v>
      </c>
      <c r="D20" s="43"/>
      <c r="E20" s="34"/>
      <c r="F20" s="43"/>
      <c r="G20" s="34"/>
      <c r="H20" s="46"/>
      <c r="I20" s="50"/>
      <c r="L20" s="118">
        <v>100000</v>
      </c>
      <c r="M20" s="17" t="e">
        <f>L20/F20-1</f>
        <v>#DIV/0!</v>
      </c>
      <c r="N20" s="17" t="e">
        <f>L20/I20-1</f>
        <v>#DIV/0!</v>
      </c>
      <c r="Q20" s="118">
        <v>100000</v>
      </c>
      <c r="R20" s="15">
        <v>0</v>
      </c>
      <c r="S20" s="118">
        <v>108000</v>
      </c>
      <c r="T20" s="157">
        <f>S20-Q20</f>
        <v>8000</v>
      </c>
      <c r="U20" s="16">
        <f>S20/Q20-1</f>
        <v>8.0000000000000071E-2</v>
      </c>
      <c r="Y20" s="118">
        <v>108000</v>
      </c>
      <c r="AA20" s="118">
        <v>97000</v>
      </c>
      <c r="AB20" s="185">
        <f>AA20-Y20</f>
        <v>-11000</v>
      </c>
      <c r="AC20" s="187">
        <f t="shared" si="56"/>
        <v>-11000</v>
      </c>
      <c r="AD20" s="187"/>
      <c r="AE20" s="118">
        <v>97000</v>
      </c>
      <c r="AF20" s="182"/>
      <c r="AH20" s="15">
        <v>96800</v>
      </c>
      <c r="AI20" s="17">
        <f t="shared" si="78"/>
        <v>0.99793814432989691</v>
      </c>
      <c r="AK20" s="118">
        <f>10900+100</f>
        <v>11000</v>
      </c>
      <c r="AS20" s="15">
        <f t="shared" si="22"/>
        <v>11000</v>
      </c>
      <c r="AV20" s="15">
        <f>AS20+AU20</f>
        <v>11000</v>
      </c>
      <c r="AX20" s="15"/>
      <c r="AY20" s="15">
        <f>AV20+AX20</f>
        <v>11000</v>
      </c>
      <c r="BB20" s="15">
        <f>AY20+BA20</f>
        <v>11000</v>
      </c>
      <c r="BD20" s="15">
        <v>-11000</v>
      </c>
      <c r="BE20" s="15">
        <f>BB20+BD20</f>
        <v>0</v>
      </c>
      <c r="BG20" s="15"/>
      <c r="BH20" s="15">
        <f>BE20+BG20</f>
        <v>0</v>
      </c>
      <c r="BJ20" s="15">
        <v>0</v>
      </c>
      <c r="BM20" s="15"/>
      <c r="BN20" s="235" t="e">
        <f t="shared" ref="BN20" si="79">BM20/BJ20</f>
        <v>#DIV/0!</v>
      </c>
      <c r="BO20" s="235" t="e">
        <f t="shared" ref="BO20" si="80">BM20/BH20</f>
        <v>#DIV/0!</v>
      </c>
      <c r="BQ20" s="15"/>
      <c r="BR20" s="15"/>
      <c r="BT20" s="15"/>
      <c r="BU20" s="15"/>
      <c r="BW20" s="15"/>
      <c r="BX20" s="15"/>
      <c r="BZ20" s="15"/>
      <c r="CA20" s="15"/>
      <c r="CC20" s="15"/>
      <c r="CD20" s="15"/>
      <c r="CF20" s="15"/>
      <c r="CG20" s="15"/>
      <c r="CI20" s="15"/>
      <c r="CJ20" s="15"/>
      <c r="CM20" s="15"/>
      <c r="CP20" s="15"/>
      <c r="CS20" s="15"/>
      <c r="CV20" s="15"/>
      <c r="CY20" s="15"/>
      <c r="DE20" s="15"/>
      <c r="DF20" s="15">
        <f>DC20+DE20</f>
        <v>0</v>
      </c>
      <c r="DH20" s="15"/>
      <c r="DI20" s="15">
        <f>DF20+DH20</f>
        <v>0</v>
      </c>
      <c r="DK20" s="15"/>
      <c r="DL20" s="15">
        <f>DI20+DK20</f>
        <v>0</v>
      </c>
      <c r="DN20" s="15"/>
      <c r="DO20" s="15">
        <f>DL20+DN20</f>
        <v>0</v>
      </c>
      <c r="DQ20" s="15"/>
      <c r="DR20" s="15">
        <f>DO20+DQ20</f>
        <v>0</v>
      </c>
      <c r="DT20" s="15"/>
      <c r="DU20" s="15">
        <f>DR20+DT20</f>
        <v>0</v>
      </c>
      <c r="DW20" s="15"/>
      <c r="DX20" s="15">
        <f>DU20+DW20</f>
        <v>0</v>
      </c>
      <c r="DZ20" s="15"/>
      <c r="EA20" s="15">
        <f>DX20+DZ20</f>
        <v>0</v>
      </c>
      <c r="EC20" s="15"/>
      <c r="ED20" s="15">
        <f>EA20+EC20</f>
        <v>0</v>
      </c>
      <c r="EF20" s="15"/>
      <c r="EG20" s="15">
        <f>ED20+EF20</f>
        <v>0</v>
      </c>
      <c r="EK20" s="15"/>
      <c r="EM20" s="15"/>
      <c r="EN20" s="15">
        <f>EK20+EM20</f>
        <v>0</v>
      </c>
      <c r="EP20" s="15"/>
      <c r="EQ20" s="15">
        <f>EN20+EP20</f>
        <v>0</v>
      </c>
      <c r="ES20" s="15"/>
      <c r="ET20" s="15">
        <f>EQ20+ES20</f>
        <v>0</v>
      </c>
      <c r="EW20" s="15">
        <f>ET20+EV20</f>
        <v>0</v>
      </c>
      <c r="EZ20" s="15">
        <f>EW20+EY20</f>
        <v>0</v>
      </c>
      <c r="FC20" s="15">
        <f>EZ20+FB20</f>
        <v>0</v>
      </c>
      <c r="FF20" s="15">
        <f>FC20+FE20</f>
        <v>0</v>
      </c>
      <c r="FI20" s="15">
        <f>FF20+FH20</f>
        <v>0</v>
      </c>
      <c r="FL20" s="15">
        <f>FI20+FK20</f>
        <v>0</v>
      </c>
      <c r="FO20" s="15">
        <f>FL20+FN20</f>
        <v>0</v>
      </c>
      <c r="FR20" s="15">
        <v>0</v>
      </c>
      <c r="FY20" s="227">
        <v>7300</v>
      </c>
      <c r="FZ20" s="15">
        <f>FV20+FY20</f>
        <v>7300</v>
      </c>
      <c r="GB20" s="15"/>
      <c r="GC20" s="15">
        <f>FZ20+GB20</f>
        <v>7300</v>
      </c>
      <c r="GE20" s="15"/>
      <c r="GF20" s="15">
        <f>GC20+GE20</f>
        <v>7300</v>
      </c>
      <c r="GH20" s="15"/>
      <c r="GI20" s="15">
        <f>GF20+GH20</f>
        <v>7300</v>
      </c>
      <c r="GK20" s="15"/>
      <c r="GL20" s="15">
        <f>GI20+GK20</f>
        <v>7300</v>
      </c>
      <c r="GN20" s="15"/>
      <c r="GO20" s="15">
        <f>GL20+GN20</f>
        <v>7300</v>
      </c>
      <c r="GQ20" s="15"/>
      <c r="GR20" s="15">
        <f>GO20+GQ20</f>
        <v>7300</v>
      </c>
      <c r="GT20" s="15"/>
      <c r="GU20" s="15">
        <f>GR20+GT20</f>
        <v>7300</v>
      </c>
      <c r="GW20" s="15"/>
      <c r="GX20" s="15">
        <f>GU20+GW20</f>
        <v>7300</v>
      </c>
      <c r="GZ20" s="15"/>
      <c r="HA20" s="189">
        <f>GX20+GZ20</f>
        <v>7300</v>
      </c>
      <c r="HC20" s="189">
        <v>7258.79</v>
      </c>
    </row>
    <row r="21" spans="1:214" outlineLevel="1">
      <c r="A21" s="1" t="s">
        <v>112</v>
      </c>
      <c r="B21" s="4" t="s">
        <v>46</v>
      </c>
      <c r="C21" s="4" t="s">
        <v>119</v>
      </c>
      <c r="D21" s="43">
        <v>350000</v>
      </c>
      <c r="E21" s="34">
        <v>17.25</v>
      </c>
      <c r="F21" s="43">
        <v>350000</v>
      </c>
      <c r="G21" s="34">
        <v>17.25</v>
      </c>
      <c r="H21" s="46">
        <v>60387</v>
      </c>
      <c r="I21" s="36"/>
      <c r="J21" s="14"/>
      <c r="Y21" s="118"/>
      <c r="AF21" s="182"/>
      <c r="AH21" s="15"/>
      <c r="AS21" s="15"/>
      <c r="AX21" s="15"/>
      <c r="BD21" s="15"/>
      <c r="BG21" s="15"/>
      <c r="DE21" s="15"/>
      <c r="DH21" s="15"/>
      <c r="DK21" s="15"/>
      <c r="DN21" s="15"/>
      <c r="DQ21" s="15"/>
      <c r="DT21" s="15"/>
      <c r="DW21" s="15"/>
      <c r="DZ21" s="15"/>
      <c r="EC21" s="15"/>
      <c r="EF21" s="15"/>
      <c r="EK21" s="15"/>
      <c r="EM21" s="15"/>
      <c r="EP21" s="15"/>
      <c r="ES21" s="15"/>
      <c r="GB21" s="15"/>
      <c r="GE21" s="15"/>
      <c r="GH21" s="15"/>
      <c r="GK21" s="15"/>
      <c r="GN21" s="15"/>
      <c r="GQ21" s="15"/>
      <c r="GT21" s="15"/>
      <c r="GW21" s="15"/>
      <c r="GZ21" s="15"/>
    </row>
    <row r="22" spans="1:214" outlineLevel="1">
      <c r="A22" s="1" t="s">
        <v>120</v>
      </c>
      <c r="B22" s="4" t="s">
        <v>48</v>
      </c>
      <c r="C22" s="4" t="s">
        <v>121</v>
      </c>
      <c r="D22" s="43">
        <v>350000</v>
      </c>
      <c r="E22" s="34">
        <v>21.92</v>
      </c>
      <c r="F22" s="43">
        <v>350000</v>
      </c>
      <c r="G22" s="34">
        <v>21.92</v>
      </c>
      <c r="H22" s="46">
        <v>76722</v>
      </c>
      <c r="I22" s="36"/>
      <c r="J22" s="14"/>
      <c r="Y22" s="118"/>
      <c r="AF22" s="182"/>
      <c r="AH22" s="15"/>
      <c r="AS22" s="15"/>
      <c r="AX22" s="15"/>
      <c r="BD22" s="15"/>
      <c r="BG22" s="15"/>
      <c r="DE22" s="15"/>
      <c r="DH22" s="15"/>
      <c r="DK22" s="15"/>
      <c r="DN22" s="15"/>
      <c r="DQ22" s="15"/>
      <c r="DT22" s="15"/>
      <c r="DW22" s="15"/>
      <c r="DZ22" s="15"/>
      <c r="EC22" s="15"/>
      <c r="EF22" s="15"/>
      <c r="EK22" s="15"/>
      <c r="EM22" s="15"/>
      <c r="EP22" s="15"/>
      <c r="ES22" s="15"/>
      <c r="GB22" s="15"/>
      <c r="GE22" s="15"/>
      <c r="GH22" s="15"/>
      <c r="GK22" s="15"/>
      <c r="GN22" s="15"/>
      <c r="GQ22" s="15"/>
      <c r="GT22" s="15"/>
      <c r="GW22" s="15"/>
      <c r="GZ22" s="15"/>
    </row>
    <row r="23" spans="1:214" ht="17.25" customHeight="1" thickBot="1">
      <c r="A23" s="54" t="s">
        <v>120</v>
      </c>
      <c r="B23" s="55" t="s">
        <v>316</v>
      </c>
      <c r="C23" s="283" t="s">
        <v>363</v>
      </c>
      <c r="D23" s="57">
        <f>D12+D16+D17+D18+D19</f>
        <v>350000</v>
      </c>
      <c r="E23" s="58"/>
      <c r="F23" s="57">
        <f>F12+F16+F17+F18+F19</f>
        <v>350000</v>
      </c>
      <c r="G23" s="58"/>
      <c r="H23" s="57"/>
      <c r="I23" s="57">
        <f>I12+I16+I17+I18+I19</f>
        <v>78364</v>
      </c>
      <c r="J23" s="138" t="e">
        <f>I23/$I$350</f>
        <v>#REF!</v>
      </c>
      <c r="K23" s="60"/>
      <c r="L23" s="122">
        <f>L12+L16+L17+L18+L19</f>
        <v>36000</v>
      </c>
      <c r="M23" s="61">
        <f>L23/F23-1</f>
        <v>-0.89714285714285713</v>
      </c>
      <c r="N23" s="61">
        <f>L23/I23-1</f>
        <v>-0.54060538002143843</v>
      </c>
      <c r="O23" s="17">
        <f>L23/$L$350</f>
        <v>8.3526683684950042E-3</v>
      </c>
      <c r="P23" s="17"/>
      <c r="Q23" s="122">
        <f>Q12+Q16+Q17+Q18+Q19</f>
        <v>36000</v>
      </c>
      <c r="R23" s="122">
        <f>R12+R16+R17+R18+R19</f>
        <v>0</v>
      </c>
      <c r="S23" s="122">
        <f>S12+S16+S17+S18+S19</f>
        <v>7000</v>
      </c>
      <c r="T23" s="122">
        <f>T12+T16+T17+T18+T19</f>
        <v>-29000</v>
      </c>
      <c r="U23" s="155">
        <f>S23/Q23-1</f>
        <v>-0.80555555555555558</v>
      </c>
      <c r="Y23" s="122">
        <f>Y12+Y16+Y17+Y18+Y19</f>
        <v>7000</v>
      </c>
      <c r="Z23" s="122">
        <f>Z12+Z16+Z17+Z18+Z19</f>
        <v>0</v>
      </c>
      <c r="AA23" s="122">
        <f>AA12+AA16+AA17+AA18+AA19+AA13</f>
        <v>8350</v>
      </c>
      <c r="AB23" s="122">
        <f>AB12+AB16+AB17+AB18+AB19+AB13</f>
        <v>1350</v>
      </c>
      <c r="AE23" s="122">
        <f>AE12+AE16+AE17+AE18+AE19+AE13</f>
        <v>8350</v>
      </c>
      <c r="AF23" s="182"/>
      <c r="AH23" s="122">
        <f>AH12+AH16+AH17+AH18+AH19+AH13</f>
        <v>7344</v>
      </c>
      <c r="AI23" s="17">
        <f t="shared" ref="AI23:AI26" si="81">AH23/AE23</f>
        <v>0.87952095808383235</v>
      </c>
      <c r="AK23" s="122">
        <f>AK12+AK16+AK17+AK18+AK19+AK13</f>
        <v>99500</v>
      </c>
      <c r="AL23" s="193">
        <f t="shared" ref="AL23:AL25" si="82">AK23/L23</f>
        <v>2.7638888888888888</v>
      </c>
      <c r="AM23" s="17">
        <f t="shared" ref="AM23:AM25" si="83">AK23/AE23</f>
        <v>11.916167664670658</v>
      </c>
      <c r="AN23" s="17">
        <f t="shared" ref="AN23:AN25" si="84">AK23/AH23</f>
        <v>13.548474945533769</v>
      </c>
      <c r="AR23" s="122">
        <f>AR12+AR16+AR17+AR18+AR19+AR13</f>
        <v>0</v>
      </c>
      <c r="AS23" s="122">
        <f>AS12+AS16+AS17+AS18+AS19+AS13</f>
        <v>99500</v>
      </c>
      <c r="AU23" s="122">
        <f>AU12+AU16+AU17+AU18+AU19+AU13</f>
        <v>14000</v>
      </c>
      <c r="AV23" s="122">
        <f>AV12+AV16+AV17+AV18+AV19+AV13</f>
        <v>113500</v>
      </c>
      <c r="AX23" s="122">
        <f>AX12+AX16+AX17+AX18+AX19+AX13</f>
        <v>0</v>
      </c>
      <c r="AY23" s="122">
        <f>AY12+AY16+AY17+AY18+AY19+AY13</f>
        <v>113500</v>
      </c>
      <c r="BA23" s="122">
        <f>BA12+BA16+BA17+BA18+BA19+BA13</f>
        <v>0</v>
      </c>
      <c r="BB23" s="122">
        <f>BB12+BB16+BB17+BB18+BB19+BB13</f>
        <v>113500</v>
      </c>
      <c r="BD23" s="122">
        <f>BD12+BD16+BD17+BD18+BD19+BD13</f>
        <v>546500</v>
      </c>
      <c r="BE23" s="122">
        <f>BE12+BE16+BE17+BE18+BE19+BE13</f>
        <v>660000</v>
      </c>
      <c r="BG23" s="122">
        <f>BG12+BG16+BG17+BG18+BG19+BG13</f>
        <v>3200</v>
      </c>
      <c r="BH23" s="122">
        <f>BH12+BH16+BH17+BH18+BH19+BH13</f>
        <v>663200</v>
      </c>
      <c r="BJ23" s="122">
        <f>BJ12+BJ16+BJ17+BJ18+BJ19+BJ13</f>
        <v>650689.16</v>
      </c>
      <c r="BK23" s="236">
        <f t="shared" ref="BK23:BK25" si="85">BJ23/BH23</f>
        <v>0.98113564535585052</v>
      </c>
      <c r="BM23" s="122">
        <f>BM12+BM16+BM17+BM18+BM19+BM13</f>
        <v>135000</v>
      </c>
      <c r="BN23" s="236">
        <f t="shared" ref="BN23:BN25" si="86">BM23/BJ23</f>
        <v>0.20747233594609135</v>
      </c>
      <c r="BO23" s="236">
        <f t="shared" ref="BO23:BO25" si="87">BM23/BH23</f>
        <v>0.20355850422195415</v>
      </c>
      <c r="BQ23" s="122">
        <f>BQ12+BQ16+BQ17+BQ18+BQ19+BQ13</f>
        <v>0</v>
      </c>
      <c r="BR23" s="122">
        <f>BR12+BR16+BR17+BR18+BR19+BR13</f>
        <v>135000</v>
      </c>
      <c r="BT23" s="122">
        <f>BT12+BT16+BT17+BT18+BT19+BT13</f>
        <v>0</v>
      </c>
      <c r="BU23" s="122">
        <f>BU12+BU16+BU17+BU18+BU19+BU13</f>
        <v>135000</v>
      </c>
      <c r="BW23" s="122">
        <f>BW12+BW16+BW17+BW18+BW19+BW13</f>
        <v>0</v>
      </c>
      <c r="BX23" s="122">
        <f>BX12+BX16+BX17+BX18+BX19+BX13</f>
        <v>135000</v>
      </c>
      <c r="BZ23" s="122">
        <f>BZ12+BZ16+BZ17+BZ18+BZ19+BZ13</f>
        <v>0</v>
      </c>
      <c r="CA23" s="122">
        <f>CA12+CA16+CA17+CA18+CA19+CA13</f>
        <v>135000</v>
      </c>
      <c r="CC23" s="122">
        <f>CC12+CC16+CC17+CC18+CC19+CC13</f>
        <v>0</v>
      </c>
      <c r="CD23" s="122">
        <f>CD12+CD16+CD17+CD18+CD19+CD13</f>
        <v>135000</v>
      </c>
      <c r="CF23" s="122">
        <f>CF12+CF16+CF17+CF18+CF19+CF13</f>
        <v>0</v>
      </c>
      <c r="CG23" s="122">
        <f>CG12+CG16+CG17+CG18+CG19+CG13</f>
        <v>135000</v>
      </c>
      <c r="CI23" s="122">
        <f>CI12+CI16+CI17+CI18+CI19+CI13</f>
        <v>0</v>
      </c>
      <c r="CJ23" s="122">
        <f>CJ12+CJ16+CJ17+CJ18+CJ19+CJ13</f>
        <v>135000</v>
      </c>
      <c r="CL23" s="319">
        <f>CL12+CL16+CL17+CL18+CL19+CL13</f>
        <v>2500</v>
      </c>
      <c r="CM23" s="122">
        <f>CM12+CM16+CM17+CM18+CM19+CM13</f>
        <v>137500</v>
      </c>
      <c r="CO23" s="122">
        <f>CO12+CO16+CO17+CO18+CO19+CO13</f>
        <v>0</v>
      </c>
      <c r="CP23" s="122">
        <f>CP12+CP16+CP17+CP18+CP19+CP13</f>
        <v>137500</v>
      </c>
      <c r="CR23" s="122">
        <f>CR12+CR16+CR17+CR18+CR19+CR13</f>
        <v>0</v>
      </c>
      <c r="CS23" s="122">
        <f>CS12+CS16+CS17+CS18+CS19+CS13</f>
        <v>137500</v>
      </c>
      <c r="CU23" s="122">
        <f>CU12+CU16+CU17+CU18+CU19+CU13</f>
        <v>-130500</v>
      </c>
      <c r="CV23" s="122">
        <f>CV12+CV16+CV17+CV18+CV19+CV13</f>
        <v>7000</v>
      </c>
      <c r="CX23" s="122">
        <f>CX12+CX16+CX17+CX18+CX19+CX13</f>
        <v>0</v>
      </c>
      <c r="CY23" s="122">
        <f>CY12+CY16+CY17+CY18+CY19+CY13</f>
        <v>7000</v>
      </c>
      <c r="DA23" s="122">
        <f>DA12+DA16+DA17+DA18+DA19+DA13</f>
        <v>6708.24</v>
      </c>
      <c r="DC23" s="122">
        <f>DC12+DC16+DC17+DC18+DC19+DC13</f>
        <v>135000</v>
      </c>
      <c r="DE23" s="122">
        <f>DE12+DE16+DE17+DE18+DE19+DE13</f>
        <v>0</v>
      </c>
      <c r="DF23" s="122">
        <f>DF12+DF16+DF17+DF18+DF19+DF13</f>
        <v>135000</v>
      </c>
      <c r="DH23" s="122">
        <f>DH12+DH16+DH17+DH18+DH19+DH13</f>
        <v>0</v>
      </c>
      <c r="DI23" s="122">
        <f>DI12+DI16+DI17+DI18+DI19+DI13</f>
        <v>135000</v>
      </c>
      <c r="DK23" s="122">
        <f>DK12+DK16+DK17+DK18+DK19+DK13</f>
        <v>0</v>
      </c>
      <c r="DL23" s="122">
        <f>DL12+DL16+DL17+DL18+DL19+DL13</f>
        <v>135000</v>
      </c>
      <c r="DN23" s="122">
        <f>DN12+DN16+DN17+DN18+DN19+DN13+DN11</f>
        <v>0</v>
      </c>
      <c r="DO23" s="122">
        <f>DO12+DO16+DO17+DO18+DO19+DO13+DO11</f>
        <v>135000</v>
      </c>
      <c r="DQ23" s="122">
        <f>DQ12+DQ16+DQ17+DQ18+DQ19+DQ13+DQ11</f>
        <v>0</v>
      </c>
      <c r="DR23" s="122">
        <f>DR12+DR16+DR17+DR18+DR19+DR13+DR11</f>
        <v>135000</v>
      </c>
      <c r="DT23" s="122">
        <f>DT12+DT16+DT17+DT18+DT19+DT13+DT11</f>
        <v>0</v>
      </c>
      <c r="DU23" s="122">
        <f>DU12+DU16+DU17+DU18+DU19+DU13+DU11</f>
        <v>135000</v>
      </c>
      <c r="DW23" s="122">
        <f>DW12+DW16+DW17+DW18+DW19+DW13+DW11</f>
        <v>0</v>
      </c>
      <c r="DX23" s="122">
        <f>DX12+DX16+DX17+DX18+DX19+DX13+DX11</f>
        <v>135000</v>
      </c>
      <c r="DZ23" s="122">
        <f>DZ12+DZ16+DZ17+DZ18+DZ19+DZ13+DZ11</f>
        <v>0</v>
      </c>
      <c r="EA23" s="122">
        <f>EA12+EA16+EA17+EA18+EA19+EA13+EA11</f>
        <v>135000</v>
      </c>
      <c r="EC23" s="122">
        <f>EC12+EC16+EC17+EC18+EC19+EC13+EC11</f>
        <v>-127500</v>
      </c>
      <c r="ED23" s="122">
        <f>ED12+ED16+ED17+ED18+ED19+ED13+ED11</f>
        <v>7500</v>
      </c>
      <c r="EF23" s="122">
        <f>EF12+EF16+EF17+EF18+EF19+EF13+EF11</f>
        <v>-2000</v>
      </c>
      <c r="EG23" s="122">
        <f>EG12+EG16+EG17+EG18+EG19+EG13+EG11</f>
        <v>5500</v>
      </c>
      <c r="EI23" s="122">
        <f>EI12+EI16+EI17+EI18+EI19+EI13+EI11</f>
        <v>4983.51</v>
      </c>
      <c r="EK23" s="122">
        <f>EK12+EK16+EK17+EK18+EK19+EK13+EK11</f>
        <v>215000</v>
      </c>
      <c r="EL23" s="377">
        <f>EK23/EI23-1</f>
        <v>42.142283250159025</v>
      </c>
      <c r="EM23" s="122">
        <f>EM12+EM16+EM17+EM18+EM19+EM13+EM11</f>
        <v>0</v>
      </c>
      <c r="EN23" s="122">
        <f>EN12+EN16+EN17+EN18+EN19+EN13+EN11</f>
        <v>215000</v>
      </c>
      <c r="EP23" s="122">
        <f>EP12+EP16+EP17+EP18+EP19+EP13+EP11</f>
        <v>0</v>
      </c>
      <c r="EQ23" s="122">
        <f>EQ12+EQ16+EQ17+EQ18+EQ19+EQ13+EQ11</f>
        <v>215000</v>
      </c>
      <c r="ES23" s="122">
        <f>ES12+ES16+ES17+ES18+ES19+ES13+ES11</f>
        <v>0</v>
      </c>
      <c r="ET23" s="122">
        <f>ET12+ET16+ET17+ET18+ET19+ET13+ET11</f>
        <v>215000</v>
      </c>
      <c r="EV23" s="122">
        <f>EV12+EV16+EV17+EV18+EV19+EV13+EV11</f>
        <v>-30000</v>
      </c>
      <c r="EW23" s="122">
        <f>EW12+EW16+EW17+EW18+EW19+EW13+EW11</f>
        <v>185000</v>
      </c>
      <c r="EY23" s="122">
        <f>EY12+EY16+EY17+EY18+EY19+EY13+EY11</f>
        <v>0</v>
      </c>
      <c r="EZ23" s="122">
        <f>EZ12+EZ16+EZ17+EZ18+EZ19+EZ13+EZ11</f>
        <v>185000</v>
      </c>
      <c r="FB23" s="122">
        <f>FB12+FB16+FB17+FB18+FB19+FB13+FB11</f>
        <v>-40000</v>
      </c>
      <c r="FC23" s="122">
        <f>FC12+FC16+FC17+FC18+FC19+FC13+FC11</f>
        <v>145000</v>
      </c>
      <c r="FE23" s="122">
        <f>FE12+FE16+FE17+FE18+FE19+FE13+FE11</f>
        <v>-2000</v>
      </c>
      <c r="FF23" s="122">
        <f>FF12+FF16+FF17+FF18+FF19+FF13+FF11</f>
        <v>143000</v>
      </c>
      <c r="FH23" s="122">
        <f>FH12+FH16+FH17+FH18+FH19+FH13+FH11</f>
        <v>-14700</v>
      </c>
      <c r="FI23" s="122">
        <f>FI12+FI16+FI17+FI18+FI19+FI13+FI11</f>
        <v>128300</v>
      </c>
      <c r="FK23" s="122">
        <f>FK12+FK16+FK17+FK18+FK19+FK13+FK11</f>
        <v>-98300</v>
      </c>
      <c r="FL23" s="122">
        <f>FL12+FL16+FL17+FL18+FL19+FL13+FL11</f>
        <v>30000</v>
      </c>
      <c r="FN23" s="122">
        <f>FN12+FN16+FN17+FN18+FN19+FN13+FN11</f>
        <v>-10000</v>
      </c>
      <c r="FO23" s="122">
        <f>FO12+FO16+FO17+FO18+FO19+FO13+FO11</f>
        <v>20000</v>
      </c>
      <c r="FQ23" s="122">
        <v>-12400</v>
      </c>
      <c r="FR23" s="122">
        <v>7600</v>
      </c>
      <c r="FT23" s="122">
        <f>FT12+FT16+FT17+FT18+FT19+FT13+FT11</f>
        <v>7564.32</v>
      </c>
      <c r="FV23" s="122">
        <f>FV12+FV16+FV17+FV18+FV19+FV13+FV11</f>
        <v>500000</v>
      </c>
      <c r="FW23" s="235">
        <f t="shared" ref="FW23:FW26" si="88">FV23/FT23</f>
        <v>66.09979482623686</v>
      </c>
      <c r="FY23" s="122">
        <f>FY12+FY16+FY17+FY18+FY19+FY13+FY11</f>
        <v>0</v>
      </c>
      <c r="FZ23" s="122">
        <f>FZ12+FZ16+FZ17+FZ18+FZ19+FZ13+FZ11</f>
        <v>500000</v>
      </c>
      <c r="GB23" s="122">
        <f>GB12+GB16+GB17+GB18+GB19+GB13+GB11</f>
        <v>0</v>
      </c>
      <c r="GC23" s="122">
        <f>GC12+GC16+GC17+GC18+GC19+GC13+GC11</f>
        <v>500000</v>
      </c>
      <c r="GE23" s="122">
        <f>GE12+GE16+GE17+GE18+GE19+GE13+GE11</f>
        <v>0</v>
      </c>
      <c r="GF23" s="122">
        <f>GF12+GF16+GF17+GF18+GF19+GF13+GF11</f>
        <v>500000</v>
      </c>
      <c r="GH23" s="122">
        <f>GH12+GH16+GH17+GH18+GH19+GH13+GH11</f>
        <v>0</v>
      </c>
      <c r="GI23" s="122">
        <f>GI12+GI16+GI17+GI18+GI19+GI13+GI11</f>
        <v>500000</v>
      </c>
      <c r="GK23" s="122">
        <f>GK12+GK16+GK17+GK18+GK19+GK13+GK11</f>
        <v>0</v>
      </c>
      <c r="GL23" s="122">
        <f>GL12+GL16+GL17+GL18+GL19+GL13+GL11</f>
        <v>500000</v>
      </c>
      <c r="GN23" s="122">
        <f>GN12+GN16+GN17+GN18+GN19+GN13+GN11</f>
        <v>-28400</v>
      </c>
      <c r="GO23" s="122">
        <f>GO12+GO16+GO17+GO18+GO19+GO13+GO11</f>
        <v>471600</v>
      </c>
      <c r="GQ23" s="122">
        <f>GQ12+GQ16+GQ17+GQ18+GQ19+GQ13+GQ11</f>
        <v>-135000</v>
      </c>
      <c r="GR23" s="122">
        <f>GR12+GR16+GR17+GR18+GR19+GR13+GR11</f>
        <v>336600</v>
      </c>
      <c r="GT23" s="122">
        <f>GT12+GT16+GT17+GT18+GT19+GT13+GT11</f>
        <v>8400</v>
      </c>
      <c r="GU23" s="122">
        <f>GU12+GU16+GU17+GU18+GU19+GU13+GU11</f>
        <v>345000</v>
      </c>
      <c r="GW23" s="122">
        <f>GW12+GW16+GW17+GW18+GW19+GW13+GW11</f>
        <v>8000</v>
      </c>
      <c r="GX23" s="122">
        <f>GX12+GX16+GX17+GX18+GX19+GX13+GX11</f>
        <v>353000</v>
      </c>
      <c r="GZ23" s="122">
        <f>GZ12+GZ16+GZ17+GZ18+GZ19+GZ13+GZ11</f>
        <v>0</v>
      </c>
      <c r="HA23" s="430">
        <f>HA12+HA16+HA17+HA18+HA19+HA13+HA11</f>
        <v>353000</v>
      </c>
      <c r="HC23" s="430">
        <f>HC12+HC16+HC17+HC18+HC19+HC13+HC11</f>
        <v>352834.12</v>
      </c>
      <c r="HE23" s="122">
        <f>HE12+HE16+HE17+HE18+HE19+HE13+HE11</f>
        <v>150000</v>
      </c>
      <c r="HF23" s="235">
        <f>HE23/HC23</f>
        <v>0.4251289529482013</v>
      </c>
    </row>
    <row r="24" spans="1:214" ht="15" customHeight="1" thickTop="1" thickBot="1">
      <c r="A24" s="64" t="s">
        <v>120</v>
      </c>
      <c r="B24" s="65" t="s">
        <v>357</v>
      </c>
      <c r="C24" s="284" t="s">
        <v>328</v>
      </c>
      <c r="D24" s="66">
        <f>D19</f>
        <v>110000</v>
      </c>
      <c r="E24" s="67"/>
      <c r="F24" s="66">
        <f>F19</f>
        <v>110000</v>
      </c>
      <c r="G24" s="67"/>
      <c r="H24" s="66"/>
      <c r="I24" s="66">
        <f>I19</f>
        <v>61000</v>
      </c>
      <c r="J24" s="68"/>
      <c r="K24" s="69"/>
      <c r="L24" s="123">
        <f>L19</f>
        <v>30000</v>
      </c>
      <c r="M24" s="70">
        <f>L24/F24-1</f>
        <v>-0.72727272727272729</v>
      </c>
      <c r="N24" s="70">
        <f>L24/I24-1</f>
        <v>-0.50819672131147542</v>
      </c>
      <c r="Q24" s="123">
        <f>Q19</f>
        <v>30000</v>
      </c>
      <c r="R24" s="123">
        <f>R19</f>
        <v>0</v>
      </c>
      <c r="S24" s="123">
        <f>S19</f>
        <v>5000</v>
      </c>
      <c r="T24" s="123">
        <f>T19</f>
        <v>-25000</v>
      </c>
      <c r="U24" s="155">
        <f>S24/Q24-1</f>
        <v>-0.83333333333333337</v>
      </c>
      <c r="Y24" s="123">
        <f>Y19</f>
        <v>5000</v>
      </c>
      <c r="Z24" s="123">
        <f>Z19</f>
        <v>0</v>
      </c>
      <c r="AA24" s="123">
        <f>AA19+AA13</f>
        <v>8350</v>
      </c>
      <c r="AB24" s="123">
        <f>AB19+AB13</f>
        <v>3350</v>
      </c>
      <c r="AE24" s="123">
        <f>AE19+AE13</f>
        <v>8350</v>
      </c>
      <c r="AF24" s="182"/>
      <c r="AH24" s="123">
        <f>AH19+AH13</f>
        <v>7344</v>
      </c>
      <c r="AI24" s="17">
        <f t="shared" si="81"/>
        <v>0.87952095808383235</v>
      </c>
      <c r="AK24" s="123">
        <f>AK19+AK13</f>
        <v>74500</v>
      </c>
      <c r="AL24" s="193">
        <f t="shared" si="82"/>
        <v>2.4833333333333334</v>
      </c>
      <c r="AM24" s="17">
        <f t="shared" si="83"/>
        <v>8.9221556886227553</v>
      </c>
      <c r="AN24" s="17">
        <f t="shared" si="84"/>
        <v>10.14433551198257</v>
      </c>
      <c r="AR24" s="123">
        <f>AR19+AR13</f>
        <v>0</v>
      </c>
      <c r="AS24" s="123">
        <f>AS19+AS13</f>
        <v>74500</v>
      </c>
      <c r="AV24" s="123">
        <f>AV19+AV13</f>
        <v>74500</v>
      </c>
      <c r="AX24" s="15"/>
      <c r="AY24" s="123">
        <f>AY19+AY13</f>
        <v>74500</v>
      </c>
      <c r="BA24" s="123">
        <f>BA19+BA13</f>
        <v>0</v>
      </c>
      <c r="BB24" s="123">
        <f>BB19+BB13</f>
        <v>74500</v>
      </c>
      <c r="BD24" s="123">
        <f>BD19+BD13</f>
        <v>525500</v>
      </c>
      <c r="BE24" s="123">
        <f>BE19+BE13</f>
        <v>600000</v>
      </c>
      <c r="BG24" s="123">
        <f>BG19+BG13</f>
        <v>3200</v>
      </c>
      <c r="BH24" s="123">
        <f>BH19+BH13</f>
        <v>603200</v>
      </c>
      <c r="BJ24" s="123">
        <f>BJ19+BJ13</f>
        <v>603114.38</v>
      </c>
      <c r="BK24" s="236">
        <f t="shared" si="85"/>
        <v>0.99985805702917774</v>
      </c>
      <c r="BM24" s="123">
        <f>BM19+BM13</f>
        <v>130000</v>
      </c>
      <c r="BN24" s="236">
        <f t="shared" si="86"/>
        <v>0.21554783687963136</v>
      </c>
      <c r="BO24" s="236">
        <f t="shared" si="87"/>
        <v>0.21551724137931033</v>
      </c>
      <c r="BQ24" s="123">
        <f>BQ19+BQ13</f>
        <v>0</v>
      </c>
      <c r="BR24" s="123">
        <f>BR19+BR13</f>
        <v>130000</v>
      </c>
      <c r="BT24" s="123">
        <f>BT19+BT13</f>
        <v>0</v>
      </c>
      <c r="BU24" s="123">
        <f>BU19+BU13</f>
        <v>130000</v>
      </c>
      <c r="BW24" s="123">
        <f>BW19+BW13</f>
        <v>0</v>
      </c>
      <c r="BX24" s="123">
        <f>BX19+BX13</f>
        <v>130000</v>
      </c>
      <c r="BZ24" s="123">
        <f>BZ19+BZ13</f>
        <v>0</v>
      </c>
      <c r="CA24" s="123">
        <f>CA19+CA13</f>
        <v>130000</v>
      </c>
      <c r="CC24" s="123">
        <f>CC19+CC13</f>
        <v>0</v>
      </c>
      <c r="CD24" s="123">
        <f>CD19+CD13</f>
        <v>130000</v>
      </c>
      <c r="CF24" s="123">
        <f>CF19+CF13</f>
        <v>0</v>
      </c>
      <c r="CG24" s="123">
        <f>CG19+CG13</f>
        <v>130000</v>
      </c>
      <c r="CI24" s="123">
        <f>CI19+CI13</f>
        <v>0</v>
      </c>
      <c r="CJ24" s="123">
        <f>CJ19+CJ13</f>
        <v>130000</v>
      </c>
      <c r="CL24" s="319">
        <f>CL19+CL13</f>
        <v>0</v>
      </c>
      <c r="CM24" s="123">
        <f>CM19+CM13</f>
        <v>130000</v>
      </c>
      <c r="CO24" s="123">
        <f>CO19+CO13</f>
        <v>0</v>
      </c>
      <c r="CP24" s="123">
        <f>CP19+CP13</f>
        <v>130000</v>
      </c>
      <c r="CR24" s="123">
        <f>CR19+CR13</f>
        <v>0</v>
      </c>
      <c r="CS24" s="123">
        <f>CS19+CS13</f>
        <v>130000</v>
      </c>
      <c r="CU24" s="123">
        <f>CU19+CU13</f>
        <v>-130000</v>
      </c>
      <c r="CV24" s="123">
        <f>CV19+CV13</f>
        <v>0</v>
      </c>
      <c r="CX24" s="123">
        <f>CX19+CX13</f>
        <v>0</v>
      </c>
      <c r="CY24" s="123">
        <f>CY19+CY13</f>
        <v>0</v>
      </c>
      <c r="DA24" s="123">
        <f>DA19+DA13</f>
        <v>0</v>
      </c>
      <c r="DC24" s="123">
        <f>DC19+DC13</f>
        <v>0</v>
      </c>
      <c r="DE24" s="123">
        <f>DE19+DE13</f>
        <v>0</v>
      </c>
      <c r="DF24" s="123">
        <f>DF19+DF13</f>
        <v>0</v>
      </c>
      <c r="DH24" s="123">
        <f>DH19+DH13</f>
        <v>0</v>
      </c>
      <c r="DI24" s="123">
        <f>DI19+DI13</f>
        <v>0</v>
      </c>
      <c r="DK24" s="123">
        <f>DK19+DK13</f>
        <v>0</v>
      </c>
      <c r="DL24" s="123">
        <f>DL19+DL13</f>
        <v>0</v>
      </c>
      <c r="DN24" s="123">
        <f>DN19+DN13</f>
        <v>0</v>
      </c>
      <c r="DO24" s="123">
        <f>DO19+DO13</f>
        <v>0</v>
      </c>
      <c r="DQ24" s="123">
        <f>DQ19+DQ13</f>
        <v>0</v>
      </c>
      <c r="DR24" s="123">
        <f>DR19+DR13</f>
        <v>0</v>
      </c>
      <c r="DT24" s="123">
        <f>DT19+DT13</f>
        <v>0</v>
      </c>
      <c r="DU24" s="123">
        <f>DU19+DU13</f>
        <v>0</v>
      </c>
      <c r="DW24" s="123">
        <f>DW19+DW13</f>
        <v>0</v>
      </c>
      <c r="DX24" s="123">
        <f>DX19+DX13</f>
        <v>0</v>
      </c>
      <c r="DZ24" s="123">
        <f>DZ19+DZ13</f>
        <v>0</v>
      </c>
      <c r="EA24" s="123">
        <f>EA19+EA13</f>
        <v>0</v>
      </c>
      <c r="EC24" s="123">
        <f>EC19+EC13</f>
        <v>2500</v>
      </c>
      <c r="ED24" s="123">
        <f>ED19+ED13</f>
        <v>2500</v>
      </c>
      <c r="EF24" s="123">
        <f>EF19+EF13</f>
        <v>0</v>
      </c>
      <c r="EG24" s="123">
        <f>EG19+EG13</f>
        <v>2500</v>
      </c>
      <c r="EI24" s="123">
        <f>EI19+EI13</f>
        <v>2481.23</v>
      </c>
      <c r="EK24" s="123">
        <f>EK19+EK13</f>
        <v>100000</v>
      </c>
      <c r="EM24" s="123">
        <f>EM19+EM13</f>
        <v>0</v>
      </c>
      <c r="EN24" s="123">
        <f>EN19+EN13</f>
        <v>100000</v>
      </c>
      <c r="EP24" s="123">
        <f>EP19+EP13</f>
        <v>0</v>
      </c>
      <c r="EQ24" s="123">
        <f>EQ19+EQ13</f>
        <v>100000</v>
      </c>
      <c r="ES24" s="123">
        <f>ES19+ES13</f>
        <v>0</v>
      </c>
      <c r="ET24" s="123">
        <f>ET19+ET13</f>
        <v>100000</v>
      </c>
      <c r="EV24" s="123">
        <f>EV19+EV13</f>
        <v>-30000</v>
      </c>
      <c r="EW24" s="123">
        <f>EW19+EW13</f>
        <v>70000</v>
      </c>
      <c r="EY24" s="123">
        <f>EY19+EY13</f>
        <v>0</v>
      </c>
      <c r="EZ24" s="123">
        <f>EZ19+EZ13</f>
        <v>70000</v>
      </c>
      <c r="FB24" s="123">
        <f>FB19+FB13</f>
        <v>-40000</v>
      </c>
      <c r="FC24" s="123">
        <f>FC19+FC13</f>
        <v>30000</v>
      </c>
      <c r="FE24" s="123">
        <f>FE19+FE13</f>
        <v>0</v>
      </c>
      <c r="FF24" s="123">
        <f>FF19+FF13</f>
        <v>30000</v>
      </c>
      <c r="FH24" s="123">
        <f>FH19+FH13</f>
        <v>0</v>
      </c>
      <c r="FI24" s="123">
        <f>FI19+FI13</f>
        <v>30000</v>
      </c>
      <c r="FK24" s="123">
        <f>FK19+FK13</f>
        <v>-10000</v>
      </c>
      <c r="FL24" s="123">
        <f>FL19+FL13</f>
        <v>20000</v>
      </c>
      <c r="FN24" s="123">
        <f>FN19+FN13</f>
        <v>0</v>
      </c>
      <c r="FO24" s="123">
        <f>FO19+FO13</f>
        <v>20000</v>
      </c>
      <c r="FQ24" s="123">
        <v>-12400</v>
      </c>
      <c r="FR24" s="123">
        <v>7600</v>
      </c>
      <c r="FT24" s="123">
        <f>FT19+FT13</f>
        <v>7564.32</v>
      </c>
      <c r="FV24" s="123">
        <f>FV19+FV13</f>
        <v>500000</v>
      </c>
      <c r="FW24" s="235">
        <f t="shared" si="88"/>
        <v>66.09979482623686</v>
      </c>
      <c r="FY24" s="123">
        <f>FY19+FY13</f>
        <v>0</v>
      </c>
      <c r="FZ24" s="123">
        <f>FZ19+FZ13</f>
        <v>500000</v>
      </c>
      <c r="GB24" s="123">
        <f>GB19+GB13</f>
        <v>0</v>
      </c>
      <c r="GC24" s="123">
        <f>GC19+GC13</f>
        <v>500000</v>
      </c>
      <c r="GE24" s="123">
        <f>GE19+GE13</f>
        <v>0</v>
      </c>
      <c r="GF24" s="123">
        <f>GF19+GF13</f>
        <v>500000</v>
      </c>
      <c r="GH24" s="123">
        <f>GH19+GH13</f>
        <v>0</v>
      </c>
      <c r="GI24" s="123">
        <f>GI19+GI13</f>
        <v>500000</v>
      </c>
      <c r="GK24" s="123">
        <f>GK19+GK13</f>
        <v>0</v>
      </c>
      <c r="GL24" s="123">
        <f>GL19+GL13</f>
        <v>500000</v>
      </c>
      <c r="GN24" s="123">
        <f>GN19+GN13</f>
        <v>-28400</v>
      </c>
      <c r="GO24" s="123">
        <f>GO19+GO13</f>
        <v>471600</v>
      </c>
      <c r="GQ24" s="123">
        <f>GQ19+GQ13</f>
        <v>-135000</v>
      </c>
      <c r="GR24" s="123">
        <f>GR19+GR13</f>
        <v>336600</v>
      </c>
      <c r="GT24" s="123">
        <f>GT19+GT13</f>
        <v>8400</v>
      </c>
      <c r="GU24" s="123">
        <f>GU19+GU13</f>
        <v>345000</v>
      </c>
      <c r="GW24" s="123">
        <f>GW19+GW13</f>
        <v>5900</v>
      </c>
      <c r="GX24" s="123">
        <f>GX19+GX13</f>
        <v>350900</v>
      </c>
      <c r="GZ24" s="123">
        <f>GZ19+GZ13</f>
        <v>0</v>
      </c>
      <c r="HA24" s="431">
        <f>HA19+HA13</f>
        <v>350900</v>
      </c>
      <c r="HC24" s="431">
        <f>HC19+HC13</f>
        <v>350830.12</v>
      </c>
      <c r="HE24" s="123">
        <f>HE19+HE13</f>
        <v>150000</v>
      </c>
      <c r="HF24" s="235">
        <f>HE24/HC24</f>
        <v>0.42755736024033514</v>
      </c>
    </row>
    <row r="25" spans="1:214" ht="15.75" customHeight="1" thickTop="1" thickBot="1">
      <c r="A25" s="75" t="s">
        <v>120</v>
      </c>
      <c r="B25" s="76" t="s">
        <v>277</v>
      </c>
      <c r="C25" s="285" t="s">
        <v>329</v>
      </c>
      <c r="D25" s="78">
        <f>D14+D20</f>
        <v>0</v>
      </c>
      <c r="E25" s="79"/>
      <c r="F25" s="78">
        <f>F14+F20</f>
        <v>0</v>
      </c>
      <c r="G25" s="79"/>
      <c r="H25" s="78"/>
      <c r="I25" s="78">
        <f>I14+I20</f>
        <v>0</v>
      </c>
      <c r="J25" s="80"/>
      <c r="K25" s="77"/>
      <c r="L25" s="124">
        <f>L14+L20</f>
        <v>200000</v>
      </c>
      <c r="M25" s="81" t="e">
        <f>L25/F25-1</f>
        <v>#DIV/0!</v>
      </c>
      <c r="N25" s="81" t="e">
        <f>L25/I25-1</f>
        <v>#DIV/0!</v>
      </c>
      <c r="Q25" s="124">
        <f>Q14+Q20</f>
        <v>200000</v>
      </c>
      <c r="R25" s="124">
        <f>R14+R20</f>
        <v>14800</v>
      </c>
      <c r="S25" s="124">
        <f>S14+S20</f>
        <v>167000</v>
      </c>
      <c r="T25" s="124">
        <f>T14+T20</f>
        <v>-33000</v>
      </c>
      <c r="U25" s="156">
        <f>S25/Q25-1</f>
        <v>-0.16500000000000004</v>
      </c>
      <c r="Y25" s="124">
        <f>Y14+Y20</f>
        <v>167000</v>
      </c>
      <c r="Z25" s="124">
        <f>Z14+Z20</f>
        <v>0</v>
      </c>
      <c r="AA25" s="124">
        <f>AA14+AA20</f>
        <v>168200</v>
      </c>
      <c r="AB25" s="124">
        <f>AB14+AB20</f>
        <v>1200</v>
      </c>
      <c r="AE25" s="124">
        <f>AE14+AE20</f>
        <v>168200</v>
      </c>
      <c r="AF25" s="182"/>
      <c r="AH25" s="124">
        <f>AH14+AH20</f>
        <v>167865</v>
      </c>
      <c r="AI25" s="17">
        <f t="shared" si="81"/>
        <v>0.99800832342449464</v>
      </c>
      <c r="AK25" s="124">
        <f>AK14+AK20</f>
        <v>467300</v>
      </c>
      <c r="AL25" s="193">
        <f t="shared" si="82"/>
        <v>2.3365</v>
      </c>
      <c r="AM25" s="17">
        <f t="shared" si="83"/>
        <v>2.7782401902497029</v>
      </c>
      <c r="AN25" s="17">
        <f t="shared" si="84"/>
        <v>2.7837845888064816</v>
      </c>
      <c r="AR25" s="124">
        <f>AR14+AR20</f>
        <v>0</v>
      </c>
      <c r="AS25" s="124">
        <f>AS14+AS20</f>
        <v>467300</v>
      </c>
      <c r="AV25" s="124">
        <f>AV14+AV20</f>
        <v>467300</v>
      </c>
      <c r="AX25" s="15"/>
      <c r="AY25" s="124">
        <f>AY14+AY20</f>
        <v>467300</v>
      </c>
      <c r="BA25" s="124">
        <f>BA14+BA20</f>
        <v>-33000</v>
      </c>
      <c r="BB25" s="124">
        <f>BB14+BB20</f>
        <v>434300</v>
      </c>
      <c r="BD25" s="124">
        <f>BD14+BD20</f>
        <v>-434300</v>
      </c>
      <c r="BE25" s="124">
        <f>BE14+BE20</f>
        <v>0</v>
      </c>
      <c r="BG25" s="124">
        <f>BG14+BG20</f>
        <v>0</v>
      </c>
      <c r="BH25" s="124">
        <f>BH14+BH20</f>
        <v>0</v>
      </c>
      <c r="BJ25" s="124">
        <f>BJ14+BJ20</f>
        <v>0</v>
      </c>
      <c r="BK25" s="237" t="e">
        <f t="shared" si="85"/>
        <v>#DIV/0!</v>
      </c>
      <c r="BM25" s="124">
        <f>BM14+BM20</f>
        <v>115000</v>
      </c>
      <c r="BN25" s="237" t="e">
        <f t="shared" si="86"/>
        <v>#DIV/0!</v>
      </c>
      <c r="BO25" s="237" t="e">
        <f t="shared" si="87"/>
        <v>#DIV/0!</v>
      </c>
      <c r="BQ25" s="124">
        <f>BQ14+BQ20</f>
        <v>0</v>
      </c>
      <c r="BR25" s="124">
        <f>BR14+BR20</f>
        <v>115000</v>
      </c>
      <c r="BT25" s="124">
        <f>BT14+BT20</f>
        <v>0</v>
      </c>
      <c r="BU25" s="124">
        <f>BU14+BU20</f>
        <v>115000</v>
      </c>
      <c r="BW25" s="124">
        <f>BW14+BW20</f>
        <v>0</v>
      </c>
      <c r="BX25" s="124">
        <f>BX14+BX20</f>
        <v>115000</v>
      </c>
      <c r="BZ25" s="124">
        <f>BZ14+BZ20</f>
        <v>0</v>
      </c>
      <c r="CA25" s="124">
        <f>CA14+CA20</f>
        <v>115000</v>
      </c>
      <c r="CC25" s="124">
        <f>CC14+CC20</f>
        <v>0</v>
      </c>
      <c r="CD25" s="124">
        <f>CD14+CD20</f>
        <v>115000</v>
      </c>
      <c r="CF25" s="124">
        <f>CF14+CF20</f>
        <v>0</v>
      </c>
      <c r="CG25" s="124">
        <f>CG14+CG20</f>
        <v>115000</v>
      </c>
      <c r="CI25" s="124">
        <f>CI14+CI20</f>
        <v>0</v>
      </c>
      <c r="CJ25" s="124">
        <f>CJ14+CJ20</f>
        <v>115000</v>
      </c>
      <c r="CL25" s="319">
        <f>CL14+CL20</f>
        <v>-49300</v>
      </c>
      <c r="CM25" s="124">
        <f>CM14+CM20</f>
        <v>65700</v>
      </c>
      <c r="CO25" s="124">
        <f>CO14+CO20</f>
        <v>-50300</v>
      </c>
      <c r="CP25" s="124">
        <f>CP14+CP20</f>
        <v>15400</v>
      </c>
      <c r="CR25" s="124">
        <f>CR14+CR20</f>
        <v>0</v>
      </c>
      <c r="CS25" s="124">
        <f>CS14+CS20</f>
        <v>15400</v>
      </c>
      <c r="CU25" s="124">
        <f>CU14+CU20</f>
        <v>-15400</v>
      </c>
      <c r="CV25" s="124">
        <f>CV14+CV20</f>
        <v>0</v>
      </c>
      <c r="CX25" s="124">
        <f>CX14+CX20</f>
        <v>0</v>
      </c>
      <c r="CY25" s="124">
        <f>CY14+CY20</f>
        <v>0</v>
      </c>
      <c r="DA25" s="124">
        <f>DA14+DA20</f>
        <v>0</v>
      </c>
      <c r="DC25" s="124">
        <f>DC14+DC20</f>
        <v>0</v>
      </c>
      <c r="DE25" s="124">
        <f>DE14+DE20</f>
        <v>0</v>
      </c>
      <c r="DF25" s="124">
        <f>DF14+DF20</f>
        <v>0</v>
      </c>
      <c r="DH25" s="124">
        <f>DH14+DH20</f>
        <v>0</v>
      </c>
      <c r="DI25" s="124">
        <f>DI14+DI20</f>
        <v>0</v>
      </c>
      <c r="DK25" s="124">
        <f>DK14+DK20</f>
        <v>0</v>
      </c>
      <c r="DL25" s="124">
        <f>DL14+DL20</f>
        <v>0</v>
      </c>
      <c r="DN25" s="124">
        <f>DN14+DN20</f>
        <v>0</v>
      </c>
      <c r="DO25" s="124">
        <f>DO14+DO20</f>
        <v>0</v>
      </c>
      <c r="DQ25" s="124">
        <f>DQ14+DQ20</f>
        <v>0</v>
      </c>
      <c r="DR25" s="124">
        <f>DR14+DR20</f>
        <v>0</v>
      </c>
      <c r="DT25" s="124">
        <f>DT14+DT20</f>
        <v>0</v>
      </c>
      <c r="DU25" s="124">
        <f>DU14+DU20</f>
        <v>0</v>
      </c>
      <c r="DW25" s="124">
        <f>DW14+DW20</f>
        <v>0</v>
      </c>
      <c r="DX25" s="124">
        <f>DX14+DX20</f>
        <v>0</v>
      </c>
      <c r="DZ25" s="124">
        <f>DZ14+DZ20</f>
        <v>0</v>
      </c>
      <c r="EA25" s="124">
        <f>EA14+EA20</f>
        <v>0</v>
      </c>
      <c r="EC25" s="124">
        <f>EC14+EC20</f>
        <v>0</v>
      </c>
      <c r="ED25" s="124">
        <f>ED14+ED20</f>
        <v>0</v>
      </c>
      <c r="EF25" s="124">
        <f>EF14+EF20</f>
        <v>0</v>
      </c>
      <c r="EG25" s="124">
        <f>EG14+EG20</f>
        <v>0</v>
      </c>
      <c r="EI25" s="124">
        <f>EI14+EI20</f>
        <v>0</v>
      </c>
      <c r="EK25" s="124">
        <f>EK14+EK20</f>
        <v>0</v>
      </c>
      <c r="EL25" s="377" t="e">
        <f>EK25/EI25-1</f>
        <v>#DIV/0!</v>
      </c>
      <c r="EM25" s="124">
        <f>EM14+EM20</f>
        <v>0</v>
      </c>
      <c r="EN25" s="124">
        <f>EN14+EN20</f>
        <v>0</v>
      </c>
      <c r="EP25" s="124">
        <f>EP14+EP20</f>
        <v>0</v>
      </c>
      <c r="EQ25" s="124">
        <f>EQ14+EQ20</f>
        <v>0</v>
      </c>
      <c r="ES25" s="124">
        <f>ES14+ES20</f>
        <v>0</v>
      </c>
      <c r="ET25" s="124">
        <f>ET14+ET20</f>
        <v>0</v>
      </c>
      <c r="EV25" s="124">
        <f>EV14+EV20</f>
        <v>0</v>
      </c>
      <c r="EW25" s="124">
        <f>EW14+EW20</f>
        <v>0</v>
      </c>
      <c r="EY25" s="124">
        <f>EY14+EY20</f>
        <v>0</v>
      </c>
      <c r="EZ25" s="124">
        <f>EZ14+EZ20</f>
        <v>0</v>
      </c>
      <c r="FB25" s="124">
        <f>FB14+FB20</f>
        <v>0</v>
      </c>
      <c r="FC25" s="124">
        <f>FC14+FC20</f>
        <v>0</v>
      </c>
      <c r="FE25" s="124">
        <f>FE14+FE20</f>
        <v>0</v>
      </c>
      <c r="FF25" s="124">
        <f>FF14+FF20</f>
        <v>0</v>
      </c>
      <c r="FH25" s="124">
        <f>FH14+FH20</f>
        <v>0</v>
      </c>
      <c r="FI25" s="124">
        <f>FI14+FI20</f>
        <v>0</v>
      </c>
      <c r="FK25" s="124">
        <f>FK14+FK20</f>
        <v>0</v>
      </c>
      <c r="FL25" s="124">
        <f>FL14+FL20</f>
        <v>0</v>
      </c>
      <c r="FN25" s="124">
        <f>FN14+FN20</f>
        <v>0</v>
      </c>
      <c r="FO25" s="124">
        <f>FO14+FO20</f>
        <v>0</v>
      </c>
      <c r="FQ25" s="124">
        <v>0</v>
      </c>
      <c r="FR25" s="124">
        <v>0</v>
      </c>
      <c r="FT25" s="124">
        <f>FT14+FT20</f>
        <v>0</v>
      </c>
      <c r="FV25" s="124">
        <f>FV14+FV20</f>
        <v>0</v>
      </c>
      <c r="FW25" s="235" t="e">
        <f t="shared" si="88"/>
        <v>#DIV/0!</v>
      </c>
      <c r="FY25" s="124">
        <f>FY14+FY20</f>
        <v>7300</v>
      </c>
      <c r="FZ25" s="124">
        <f>FZ14+FZ20</f>
        <v>7300</v>
      </c>
      <c r="GB25" s="124">
        <f>GB14+GB20</f>
        <v>0</v>
      </c>
      <c r="GC25" s="124">
        <f>GC14+GC20</f>
        <v>7300</v>
      </c>
      <c r="GE25" s="124">
        <f>GE14+GE20</f>
        <v>0</v>
      </c>
      <c r="GF25" s="124">
        <f>GF14+GF20</f>
        <v>7300</v>
      </c>
      <c r="GH25" s="124">
        <f>GH14+GH20</f>
        <v>0</v>
      </c>
      <c r="GI25" s="124">
        <f>GI14+GI20</f>
        <v>7300</v>
      </c>
      <c r="GK25" s="124">
        <f>GK14+GK20</f>
        <v>0</v>
      </c>
      <c r="GL25" s="124">
        <f>GL14+GL20</f>
        <v>7300</v>
      </c>
      <c r="GN25" s="124">
        <f>GN14+GN20</f>
        <v>0</v>
      </c>
      <c r="GO25" s="124">
        <f>GO14+GO20</f>
        <v>7300</v>
      </c>
      <c r="GQ25" s="124">
        <f>GQ14+GQ20</f>
        <v>0</v>
      </c>
      <c r="GR25" s="124">
        <f>GR14+GR20</f>
        <v>7300</v>
      </c>
      <c r="GT25" s="124">
        <f>GT14+GT20</f>
        <v>0</v>
      </c>
      <c r="GU25" s="124">
        <f>GU14+GU20</f>
        <v>7300</v>
      </c>
      <c r="GW25" s="124">
        <f>GW14+GW20</f>
        <v>0</v>
      </c>
      <c r="GX25" s="124">
        <f>GX14+GX20</f>
        <v>7300</v>
      </c>
      <c r="GZ25" s="124">
        <f>GZ14+GZ20</f>
        <v>0</v>
      </c>
      <c r="HA25" s="432">
        <f>HA14+HA20</f>
        <v>7300</v>
      </c>
      <c r="HC25" s="432">
        <f>HC14+HC20</f>
        <v>7258.79</v>
      </c>
      <c r="HE25" s="124">
        <f>HE14+HE20</f>
        <v>0</v>
      </c>
      <c r="HF25" s="235">
        <f>HE25/HC25</f>
        <v>0</v>
      </c>
    </row>
    <row r="26" spans="1:214" ht="15.75" outlineLevel="1" thickTop="1">
      <c r="A26" s="1" t="s">
        <v>299</v>
      </c>
      <c r="B26" s="1" t="s">
        <v>146</v>
      </c>
      <c r="C26" s="4" t="s">
        <v>147</v>
      </c>
      <c r="D26" s="43">
        <v>0</v>
      </c>
      <c r="E26" s="34">
        <v>0</v>
      </c>
      <c r="F26" s="43">
        <v>0</v>
      </c>
      <c r="G26" s="34">
        <v>0</v>
      </c>
      <c r="H26" s="46">
        <v>2094.5</v>
      </c>
      <c r="I26" s="48">
        <v>2095</v>
      </c>
      <c r="L26" s="125">
        <v>0</v>
      </c>
      <c r="M26" s="17" t="e">
        <f>L26/F26-1</f>
        <v>#DIV/0!</v>
      </c>
      <c r="N26" s="17">
        <f>L26/I26-1</f>
        <v>-1</v>
      </c>
      <c r="AA26" s="118">
        <v>1900</v>
      </c>
      <c r="AB26" s="185">
        <f>AA26-Y26</f>
        <v>1900</v>
      </c>
      <c r="AC26" s="187">
        <f t="shared" ref="AC26" si="89">AA26-Y26</f>
        <v>1900</v>
      </c>
      <c r="AD26" s="187"/>
      <c r="AE26" s="118">
        <v>1900</v>
      </c>
      <c r="AF26" s="182"/>
      <c r="AH26" s="15">
        <v>1812.85</v>
      </c>
      <c r="AI26" s="17">
        <f t="shared" si="81"/>
        <v>0.95413157894736833</v>
      </c>
      <c r="AK26" s="118">
        <v>10000</v>
      </c>
      <c r="AS26" s="15">
        <f t="shared" ref="AS26" si="90">AR26+AK26</f>
        <v>10000</v>
      </c>
      <c r="AV26" s="15">
        <f>AS26+AU26</f>
        <v>10000</v>
      </c>
      <c r="AX26" s="15"/>
      <c r="AY26" s="15">
        <f>AV26+AX26</f>
        <v>10000</v>
      </c>
      <c r="BB26" s="15">
        <f>AY26+BA26</f>
        <v>10000</v>
      </c>
      <c r="BD26" s="15">
        <v>-10000</v>
      </c>
      <c r="BE26" s="15">
        <f>BB26+BD26</f>
        <v>0</v>
      </c>
      <c r="BG26" s="15"/>
      <c r="BH26" s="15">
        <f>BE26+BG26</f>
        <v>0</v>
      </c>
      <c r="BJ26" s="15">
        <v>0</v>
      </c>
      <c r="BK26" s="235"/>
      <c r="BM26" s="15">
        <v>0</v>
      </c>
      <c r="BN26" s="235" t="e">
        <f t="shared" ref="BN26" si="91">BM26/BJ26</f>
        <v>#DIV/0!</v>
      </c>
      <c r="BO26" s="235" t="e">
        <f t="shared" ref="BO26" si="92">BM26/BH26</f>
        <v>#DIV/0!</v>
      </c>
      <c r="BQ26" s="15"/>
      <c r="BR26" s="15">
        <f>BM26+BQ26</f>
        <v>0</v>
      </c>
      <c r="BT26" s="15"/>
      <c r="BU26" s="15">
        <f>BR26+BT26</f>
        <v>0</v>
      </c>
      <c r="BW26" s="15"/>
      <c r="BX26" s="15">
        <f>BU26+BW26</f>
        <v>0</v>
      </c>
      <c r="BZ26" s="15"/>
      <c r="CA26" s="15">
        <f>BX26+BZ26</f>
        <v>0</v>
      </c>
      <c r="CC26" s="15"/>
      <c r="CD26" s="15">
        <f>CA26+CC26</f>
        <v>0</v>
      </c>
      <c r="CF26" s="15"/>
      <c r="CG26" s="15">
        <f>CD26+CF26</f>
        <v>0</v>
      </c>
      <c r="CI26" s="15"/>
      <c r="CJ26" s="15">
        <f>CG26+CI26</f>
        <v>0</v>
      </c>
      <c r="CM26" s="15">
        <f>CJ26+CL26</f>
        <v>0</v>
      </c>
      <c r="CP26" s="15">
        <f>CM26+CO26</f>
        <v>0</v>
      </c>
      <c r="CS26" s="15">
        <f>CP26+CR26</f>
        <v>0</v>
      </c>
      <c r="CV26" s="15">
        <f>CS26+CU26</f>
        <v>0</v>
      </c>
      <c r="CY26" s="15">
        <f>CV26+CX26</f>
        <v>0</v>
      </c>
      <c r="DE26" s="15"/>
      <c r="DF26" s="15">
        <f>DC26+DE26</f>
        <v>0</v>
      </c>
      <c r="DH26" s="15"/>
      <c r="DI26" s="15">
        <f>DF26+DH26</f>
        <v>0</v>
      </c>
      <c r="DK26" s="15"/>
      <c r="DL26" s="15">
        <f>DI26+DK26</f>
        <v>0</v>
      </c>
      <c r="DN26" s="15"/>
      <c r="DO26" s="15">
        <f>DL26+DN26</f>
        <v>0</v>
      </c>
      <c r="DQ26" s="15"/>
      <c r="DR26" s="15">
        <f>DO26+DQ26</f>
        <v>0</v>
      </c>
      <c r="DT26" s="15"/>
      <c r="DU26" s="15">
        <f>DR26+DT26</f>
        <v>0</v>
      </c>
      <c r="DW26" s="15"/>
      <c r="DX26" s="15">
        <f>DU26+DW26</f>
        <v>0</v>
      </c>
      <c r="DZ26" s="15"/>
      <c r="EA26" s="15">
        <f>DX26+DZ26</f>
        <v>0</v>
      </c>
      <c r="EC26" s="15"/>
      <c r="ED26" s="15">
        <f>EA26+EC26</f>
        <v>0</v>
      </c>
      <c r="EF26" s="15"/>
      <c r="EG26" s="15">
        <f>ED26+EF26</f>
        <v>0</v>
      </c>
      <c r="EK26" s="15">
        <v>25000</v>
      </c>
      <c r="EM26" s="15"/>
      <c r="EN26" s="15">
        <f>EK26+EM26</f>
        <v>25000</v>
      </c>
      <c r="EP26" s="15"/>
      <c r="EQ26" s="15">
        <f>EN26+EP26</f>
        <v>25000</v>
      </c>
      <c r="ES26" s="15"/>
      <c r="ET26" s="15">
        <f>EQ26+ES26</f>
        <v>25000</v>
      </c>
      <c r="EW26" s="15">
        <f>ET26+EV26</f>
        <v>25000</v>
      </c>
      <c r="EZ26" s="15">
        <f>EW26+EY26</f>
        <v>25000</v>
      </c>
      <c r="FC26" s="15">
        <f>EZ26+FB26</f>
        <v>25000</v>
      </c>
      <c r="FF26" s="15">
        <f>FC26+FE26</f>
        <v>25000</v>
      </c>
      <c r="FI26" s="15">
        <f>FF26+FH26</f>
        <v>25000</v>
      </c>
      <c r="FL26" s="15">
        <f>FI26+FK26</f>
        <v>25000</v>
      </c>
      <c r="FO26" s="15">
        <f>FL26+FN26</f>
        <v>25000</v>
      </c>
      <c r="FR26" s="15">
        <v>25000</v>
      </c>
      <c r="FV26" s="15">
        <v>25000</v>
      </c>
      <c r="FW26" s="235" t="e">
        <f t="shared" si="88"/>
        <v>#DIV/0!</v>
      </c>
      <c r="FZ26" s="15">
        <f>FV26+FY26</f>
        <v>25000</v>
      </c>
      <c r="GB26" s="15"/>
      <c r="GC26" s="15">
        <f>FZ26+GB26</f>
        <v>25000</v>
      </c>
      <c r="GE26" s="15"/>
      <c r="GF26" s="15">
        <f>GC26+GE26</f>
        <v>25000</v>
      </c>
      <c r="GH26" s="15"/>
      <c r="GI26" s="15">
        <f>GF26+GH26</f>
        <v>25000</v>
      </c>
      <c r="GK26" s="15"/>
      <c r="GL26" s="15">
        <f>GI26+GK26</f>
        <v>25000</v>
      </c>
      <c r="GN26" s="15"/>
      <c r="GO26" s="15">
        <f>GL26+GN26</f>
        <v>25000</v>
      </c>
      <c r="GQ26" s="227">
        <v>-25000</v>
      </c>
      <c r="GR26" s="15">
        <f>GO26+GQ26</f>
        <v>0</v>
      </c>
      <c r="GT26" s="15"/>
      <c r="GU26" s="15">
        <f>GR26+GT26</f>
        <v>0</v>
      </c>
      <c r="GW26" s="15"/>
      <c r="GX26" s="15">
        <f>GU26+GW26</f>
        <v>0</v>
      </c>
      <c r="GZ26" s="15"/>
      <c r="HA26" s="189">
        <f>GX26+GZ26</f>
        <v>0</v>
      </c>
      <c r="HC26" s="189">
        <v>0</v>
      </c>
      <c r="HE26" s="15">
        <v>0</v>
      </c>
      <c r="HF26" s="235" t="e">
        <f>HE26/HC26</f>
        <v>#DIV/0!</v>
      </c>
    </row>
    <row r="27" spans="1:214" outlineLevel="1">
      <c r="A27" s="1" t="s">
        <v>299</v>
      </c>
      <c r="B27" s="4" t="s">
        <v>46</v>
      </c>
      <c r="C27" s="4" t="s">
        <v>300</v>
      </c>
      <c r="D27" s="43">
        <v>0</v>
      </c>
      <c r="E27" s="34">
        <v>0</v>
      </c>
      <c r="F27" s="43">
        <v>0</v>
      </c>
      <c r="G27" s="34">
        <v>0</v>
      </c>
      <c r="H27" s="46">
        <v>2094.5</v>
      </c>
      <c r="I27" s="36"/>
      <c r="J27" s="14"/>
      <c r="AF27" s="182"/>
      <c r="AH27" s="15"/>
      <c r="AX27" s="15"/>
      <c r="BD27" s="15"/>
      <c r="BG27" s="15"/>
      <c r="DE27" s="15"/>
      <c r="DH27" s="15"/>
      <c r="DK27" s="15"/>
      <c r="DN27" s="15"/>
      <c r="DQ27" s="15"/>
      <c r="DT27" s="15"/>
      <c r="DW27" s="15"/>
      <c r="DZ27" s="15"/>
      <c r="EC27" s="15"/>
      <c r="EF27" s="15"/>
      <c r="EK27" s="15"/>
      <c r="EM27" s="15"/>
      <c r="EP27" s="15"/>
      <c r="ES27" s="15"/>
      <c r="GB27" s="15"/>
      <c r="GE27" s="15"/>
      <c r="GH27" s="15"/>
      <c r="GK27" s="15"/>
      <c r="GN27" s="15"/>
      <c r="GQ27" s="15"/>
      <c r="GT27" s="15"/>
      <c r="GW27" s="15"/>
      <c r="GZ27" s="15"/>
    </row>
    <row r="28" spans="1:214" outlineLevel="1">
      <c r="A28" s="1" t="s">
        <v>301</v>
      </c>
      <c r="B28" s="1" t="s">
        <v>146</v>
      </c>
      <c r="C28" s="4" t="s">
        <v>147</v>
      </c>
      <c r="D28" s="43">
        <v>0</v>
      </c>
      <c r="E28" s="34">
        <v>0</v>
      </c>
      <c r="F28" s="43">
        <v>0</v>
      </c>
      <c r="G28" s="34">
        <v>0</v>
      </c>
      <c r="H28" s="46">
        <v>1356.5</v>
      </c>
      <c r="I28" s="36">
        <v>1357</v>
      </c>
      <c r="J28" s="14"/>
      <c r="L28" s="125">
        <v>0</v>
      </c>
      <c r="M28" s="17" t="e">
        <f>L28/F28-1</f>
        <v>#DIV/0!</v>
      </c>
      <c r="N28" s="17">
        <f>L28/I28-1</f>
        <v>-1</v>
      </c>
      <c r="AF28" s="182"/>
      <c r="AH28" s="15"/>
      <c r="AX28" s="15"/>
      <c r="BD28" s="15"/>
      <c r="BG28" s="15"/>
      <c r="DE28" s="15"/>
      <c r="DH28" s="15"/>
      <c r="DK28" s="15"/>
      <c r="DN28" s="15"/>
      <c r="DQ28" s="15"/>
      <c r="DT28" s="15"/>
      <c r="DW28" s="15"/>
      <c r="DZ28" s="15"/>
      <c r="EC28" s="15"/>
      <c r="EF28" s="15"/>
      <c r="EK28" s="15"/>
      <c r="EM28" s="15"/>
      <c r="EP28" s="15"/>
      <c r="ES28" s="15"/>
      <c r="GB28" s="15"/>
      <c r="GE28" s="15"/>
      <c r="GH28" s="15"/>
      <c r="GK28" s="15"/>
      <c r="GN28" s="15"/>
      <c r="GQ28" s="15"/>
      <c r="GT28" s="15"/>
      <c r="GW28" s="15"/>
      <c r="GZ28" s="15"/>
    </row>
    <row r="29" spans="1:214" outlineLevel="1">
      <c r="A29" s="1" t="s">
        <v>301</v>
      </c>
      <c r="B29" s="4" t="s">
        <v>46</v>
      </c>
      <c r="C29" s="4" t="s">
        <v>302</v>
      </c>
      <c r="D29" s="43">
        <v>0</v>
      </c>
      <c r="E29" s="34">
        <v>0</v>
      </c>
      <c r="F29" s="43">
        <v>0</v>
      </c>
      <c r="G29" s="34">
        <v>0</v>
      </c>
      <c r="H29" s="46">
        <v>1356.5</v>
      </c>
      <c r="I29" s="36"/>
      <c r="J29" s="14"/>
      <c r="AF29" s="182"/>
      <c r="AH29" s="15"/>
      <c r="AX29" s="15"/>
      <c r="BD29" s="15"/>
      <c r="BG29" s="15"/>
      <c r="DE29" s="15"/>
      <c r="DH29" s="15"/>
      <c r="DK29" s="15"/>
      <c r="DN29" s="15"/>
      <c r="DQ29" s="15"/>
      <c r="DT29" s="15"/>
      <c r="DW29" s="15"/>
      <c r="DZ29" s="15"/>
      <c r="EC29" s="15"/>
      <c r="EF29" s="15"/>
      <c r="EK29" s="15"/>
      <c r="EM29" s="15"/>
      <c r="EP29" s="15"/>
      <c r="ES29" s="15"/>
      <c r="GB29" s="15"/>
      <c r="GE29" s="15"/>
      <c r="GH29" s="15"/>
      <c r="GK29" s="15"/>
      <c r="GN29" s="15"/>
      <c r="GQ29" s="15"/>
      <c r="GT29" s="15"/>
      <c r="GW29" s="15"/>
      <c r="GZ29" s="15"/>
    </row>
    <row r="30" spans="1:214" ht="15" customHeight="1" outlineLevel="1">
      <c r="A30" s="1" t="s">
        <v>303</v>
      </c>
      <c r="B30" s="4" t="s">
        <v>48</v>
      </c>
      <c r="C30" s="4" t="s">
        <v>304</v>
      </c>
      <c r="D30" s="43">
        <v>0</v>
      </c>
      <c r="E30" s="34">
        <v>0</v>
      </c>
      <c r="F30" s="43">
        <v>0</v>
      </c>
      <c r="G30" s="34">
        <v>0</v>
      </c>
      <c r="H30" s="46">
        <v>3451</v>
      </c>
      <c r="I30" s="36"/>
      <c r="J30" s="14"/>
      <c r="AF30" s="182"/>
      <c r="AH30" s="15"/>
      <c r="AX30" s="15"/>
      <c r="BD30" s="15"/>
      <c r="BG30" s="15"/>
      <c r="DE30" s="15"/>
      <c r="DH30" s="15"/>
      <c r="DK30" s="15"/>
      <c r="DN30" s="15"/>
      <c r="DQ30" s="15"/>
      <c r="DT30" s="15"/>
      <c r="DW30" s="15"/>
      <c r="DZ30" s="15"/>
      <c r="EC30" s="15"/>
      <c r="EF30" s="15"/>
      <c r="EK30" s="15"/>
      <c r="EM30" s="15"/>
      <c r="EP30" s="15"/>
      <c r="ES30" s="15"/>
      <c r="GB30" s="15"/>
      <c r="GE30" s="15"/>
      <c r="GH30" s="15"/>
      <c r="GK30" s="15"/>
      <c r="GN30" s="15"/>
      <c r="GQ30" s="15"/>
      <c r="GT30" s="15"/>
      <c r="GW30" s="15"/>
      <c r="GZ30" s="15"/>
    </row>
    <row r="31" spans="1:214" ht="15" customHeight="1" thickBot="1">
      <c r="A31" s="54" t="s">
        <v>303</v>
      </c>
      <c r="B31" s="55" t="s">
        <v>316</v>
      </c>
      <c r="C31" s="283" t="s">
        <v>304</v>
      </c>
      <c r="D31" s="57">
        <f>D26+D28</f>
        <v>0</v>
      </c>
      <c r="E31" s="58"/>
      <c r="F31" s="57">
        <f>F26+F28</f>
        <v>0</v>
      </c>
      <c r="G31" s="58"/>
      <c r="H31" s="57"/>
      <c r="I31" s="57">
        <f>I26+I28</f>
        <v>3452</v>
      </c>
      <c r="J31" s="138" t="e">
        <f>I31/$I$350</f>
        <v>#REF!</v>
      </c>
      <c r="K31" s="60"/>
      <c r="L31" s="122">
        <f>L26+L28</f>
        <v>0</v>
      </c>
      <c r="M31" s="61" t="e">
        <f>L31/F31-1</f>
        <v>#DIV/0!</v>
      </c>
      <c r="N31" s="61">
        <f>L31/I31-1</f>
        <v>-1</v>
      </c>
      <c r="O31" s="17">
        <f>L31/$L$350</f>
        <v>0</v>
      </c>
      <c r="P31" s="17"/>
      <c r="Q31" s="122">
        <f>Q26+Q28</f>
        <v>0</v>
      </c>
      <c r="S31" s="122">
        <f>S26+S28</f>
        <v>0</v>
      </c>
      <c r="Y31" s="122">
        <f>Y26+Y28</f>
        <v>0</v>
      </c>
      <c r="Z31" s="122">
        <f>Z26+Z28</f>
        <v>0</v>
      </c>
      <c r="AA31" s="122">
        <f>AA26+AA28</f>
        <v>1900</v>
      </c>
      <c r="AB31" s="122">
        <f>AB26+AB28</f>
        <v>1900</v>
      </c>
      <c r="AE31" s="122">
        <f>AE26+AE28</f>
        <v>1900</v>
      </c>
      <c r="AF31" s="182"/>
      <c r="AH31" s="122">
        <f>AH26+AH28</f>
        <v>1812.85</v>
      </c>
      <c r="AI31" s="17">
        <f t="shared" ref="AI31:AI32" si="93">AH31/AE31</f>
        <v>0.95413157894736833</v>
      </c>
      <c r="AK31" s="122">
        <f>AK26+AK28</f>
        <v>10000</v>
      </c>
      <c r="AL31" s="193" t="e">
        <f>AK31/L31</f>
        <v>#DIV/0!</v>
      </c>
      <c r="AM31" s="17">
        <f>AK31/AE31</f>
        <v>5.2631578947368425</v>
      </c>
      <c r="AN31" s="17">
        <f>AK31/AH31</f>
        <v>5.5161761866674022</v>
      </c>
      <c r="AS31" s="122">
        <f>AS26+AS28</f>
        <v>10000</v>
      </c>
      <c r="AU31" s="122">
        <f>AU26+AU28</f>
        <v>0</v>
      </c>
      <c r="AV31" s="122">
        <f>AV26+AV28</f>
        <v>10000</v>
      </c>
      <c r="AX31" s="122">
        <f>AX26+AX28</f>
        <v>0</v>
      </c>
      <c r="AY31" s="122">
        <f>AY26+AY28</f>
        <v>10000</v>
      </c>
      <c r="BA31" s="122">
        <f>BA26+BA28</f>
        <v>0</v>
      </c>
      <c r="BB31" s="122">
        <f>BB26+BB28</f>
        <v>10000</v>
      </c>
      <c r="BD31" s="122">
        <f>BD26+BD28</f>
        <v>-10000</v>
      </c>
      <c r="BE31" s="122">
        <f>BE26+BE28</f>
        <v>0</v>
      </c>
      <c r="BG31" s="122">
        <f>BG26+BG28</f>
        <v>0</v>
      </c>
      <c r="BH31" s="122">
        <f>BH26+BH28</f>
        <v>0</v>
      </c>
      <c r="BJ31" s="122">
        <f>BJ26+BJ28</f>
        <v>0</v>
      </c>
      <c r="BK31" s="236" t="e">
        <f t="shared" ref="BK31" si="94">BJ31/BH31</f>
        <v>#DIV/0!</v>
      </c>
      <c r="BM31" s="122">
        <f>BM26+BM28</f>
        <v>0</v>
      </c>
      <c r="BN31" s="236" t="e">
        <f t="shared" ref="BN31" si="95">BM31/BJ31</f>
        <v>#DIV/0!</v>
      </c>
      <c r="BO31" s="236" t="e">
        <f t="shared" ref="BO31" si="96">BM31/BH31</f>
        <v>#DIV/0!</v>
      </c>
      <c r="BQ31" s="122">
        <f>BQ26+BQ28</f>
        <v>0</v>
      </c>
      <c r="BR31" s="122">
        <f>BR26+BR28</f>
        <v>0</v>
      </c>
      <c r="BT31" s="122">
        <f>BT26+BT28</f>
        <v>0</v>
      </c>
      <c r="BU31" s="122">
        <f>BU26+BU28</f>
        <v>0</v>
      </c>
      <c r="BW31" s="122">
        <f>BW26+BW28</f>
        <v>0</v>
      </c>
      <c r="BX31" s="122">
        <f>BX26+BX28</f>
        <v>0</v>
      </c>
      <c r="BZ31" s="122">
        <f>BZ26+BZ28</f>
        <v>0</v>
      </c>
      <c r="CA31" s="122">
        <f>CA26+CA28</f>
        <v>0</v>
      </c>
      <c r="CC31" s="122">
        <f>CC26+CC28</f>
        <v>0</v>
      </c>
      <c r="CD31" s="122">
        <f>CD26+CD28</f>
        <v>0</v>
      </c>
      <c r="CF31" s="122">
        <f>CF26+CF28</f>
        <v>0</v>
      </c>
      <c r="CG31" s="122">
        <f>CG26+CG28</f>
        <v>0</v>
      </c>
      <c r="CI31" s="122">
        <f>CI26+CI28</f>
        <v>0</v>
      </c>
      <c r="CJ31" s="122">
        <f>CJ26+CJ28</f>
        <v>0</v>
      </c>
      <c r="CL31" s="319">
        <f>CL26+CL28</f>
        <v>0</v>
      </c>
      <c r="CM31" s="122">
        <f>CM26+CM28</f>
        <v>0</v>
      </c>
      <c r="CO31" s="122">
        <f>CO26+CO28</f>
        <v>0</v>
      </c>
      <c r="CP31" s="122">
        <f>CP26+CP28</f>
        <v>0</v>
      </c>
      <c r="CR31" s="122">
        <f>CR26+CR28</f>
        <v>0</v>
      </c>
      <c r="CS31" s="122">
        <f>CS26+CS28</f>
        <v>0</v>
      </c>
      <c r="CU31" s="122">
        <f>CU26+CU28</f>
        <v>0</v>
      </c>
      <c r="CV31" s="122">
        <f>CV26+CV28</f>
        <v>0</v>
      </c>
      <c r="CX31" s="122">
        <f>CX26+CX28</f>
        <v>0</v>
      </c>
      <c r="CY31" s="122">
        <f>CY26+CY28</f>
        <v>0</v>
      </c>
      <c r="DA31" s="122">
        <f>DA26+DA28</f>
        <v>0</v>
      </c>
      <c r="DC31" s="122">
        <f>DC26+DC28</f>
        <v>0</v>
      </c>
      <c r="DE31" s="122">
        <f>DE26+DE28</f>
        <v>0</v>
      </c>
      <c r="DF31" s="122">
        <f>DF26+DF28</f>
        <v>0</v>
      </c>
      <c r="DH31" s="122">
        <f>DH26+DH28</f>
        <v>0</v>
      </c>
      <c r="DI31" s="122">
        <f>DI26+DI28</f>
        <v>0</v>
      </c>
      <c r="DK31" s="122">
        <f>DK26+DK28</f>
        <v>0</v>
      </c>
      <c r="DL31" s="122">
        <f>DL26+DL28</f>
        <v>0</v>
      </c>
      <c r="DN31" s="122">
        <f>DN26+DN28</f>
        <v>0</v>
      </c>
      <c r="DO31" s="122">
        <f>DO26+DO28</f>
        <v>0</v>
      </c>
      <c r="DQ31" s="122">
        <f>DQ26+DQ28</f>
        <v>0</v>
      </c>
      <c r="DR31" s="122">
        <f>DR26+DR28</f>
        <v>0</v>
      </c>
      <c r="DT31" s="122">
        <f>DT26+DT28</f>
        <v>0</v>
      </c>
      <c r="DU31" s="122">
        <f>DU26+DU28</f>
        <v>0</v>
      </c>
      <c r="DW31" s="122">
        <f>DW26+DW28</f>
        <v>0</v>
      </c>
      <c r="DX31" s="122">
        <f>DX26+DX28</f>
        <v>0</v>
      </c>
      <c r="DZ31" s="122">
        <f>DZ26+DZ28</f>
        <v>0</v>
      </c>
      <c r="EA31" s="122">
        <f>EA26+EA28</f>
        <v>0</v>
      </c>
      <c r="EC31" s="122">
        <f>EC26+EC28</f>
        <v>0</v>
      </c>
      <c r="ED31" s="122">
        <f>ED26+ED28</f>
        <v>0</v>
      </c>
      <c r="EF31" s="122">
        <f>EF26+EF28</f>
        <v>0</v>
      </c>
      <c r="EG31" s="122">
        <f>EG26+EG28</f>
        <v>0</v>
      </c>
      <c r="EI31" s="122">
        <f>EI26+EI28</f>
        <v>0</v>
      </c>
      <c r="EK31" s="122">
        <f>EK26+EK28</f>
        <v>25000</v>
      </c>
      <c r="EL31" s="377" t="e">
        <f>EK31/EI31-1</f>
        <v>#DIV/0!</v>
      </c>
      <c r="EM31" s="122">
        <f>EM26+EM28</f>
        <v>0</v>
      </c>
      <c r="EN31" s="122">
        <f>EN26+EN28</f>
        <v>25000</v>
      </c>
      <c r="EP31" s="122">
        <f>EP26+EP28</f>
        <v>0</v>
      </c>
      <c r="EQ31" s="122">
        <f>EQ26+EQ28</f>
        <v>25000</v>
      </c>
      <c r="ES31" s="122">
        <f>ES26+ES28</f>
        <v>0</v>
      </c>
      <c r="ET31" s="122">
        <f>ET26+ET28</f>
        <v>25000</v>
      </c>
      <c r="EV31" s="122">
        <f>EV26+EV28</f>
        <v>0</v>
      </c>
      <c r="EW31" s="122">
        <f>EW26+EW28</f>
        <v>25000</v>
      </c>
      <c r="EY31" s="122">
        <f>EY26+EY28</f>
        <v>0</v>
      </c>
      <c r="EZ31" s="122">
        <f>EZ26+EZ28</f>
        <v>25000</v>
      </c>
      <c r="FB31" s="122">
        <f>FB26+FB28</f>
        <v>0</v>
      </c>
      <c r="FC31" s="122">
        <f>FC26+FC28</f>
        <v>25000</v>
      </c>
      <c r="FE31" s="122">
        <f>FE26+FE28</f>
        <v>0</v>
      </c>
      <c r="FF31" s="122">
        <f>FF26+FF28</f>
        <v>25000</v>
      </c>
      <c r="FH31" s="122">
        <f>FH26+FH28</f>
        <v>0</v>
      </c>
      <c r="FI31" s="122">
        <f>FI26+FI28</f>
        <v>25000</v>
      </c>
      <c r="FK31" s="122">
        <f>FK26+FK28</f>
        <v>0</v>
      </c>
      <c r="FL31" s="122">
        <f>FL26+FL28</f>
        <v>25000</v>
      </c>
      <c r="FN31" s="122">
        <f>FN26+FN28</f>
        <v>0</v>
      </c>
      <c r="FO31" s="122">
        <f>FO26+FO28</f>
        <v>25000</v>
      </c>
      <c r="FQ31" s="122">
        <v>0</v>
      </c>
      <c r="FR31" s="122">
        <v>25000</v>
      </c>
      <c r="FT31" s="122">
        <f>FT26+FT28</f>
        <v>0</v>
      </c>
      <c r="FV31" s="122">
        <f>FV26+FV28</f>
        <v>25000</v>
      </c>
      <c r="FW31" s="235" t="e">
        <f t="shared" ref="FW31" si="97">FV31/FT31</f>
        <v>#DIV/0!</v>
      </c>
      <c r="FY31" s="122">
        <f>FY26+FY28</f>
        <v>0</v>
      </c>
      <c r="FZ31" s="122">
        <f>FZ26+FZ28</f>
        <v>25000</v>
      </c>
      <c r="GB31" s="122">
        <f>GB26+GB28</f>
        <v>0</v>
      </c>
      <c r="GC31" s="122">
        <f>GC26+GC28</f>
        <v>25000</v>
      </c>
      <c r="GE31" s="122">
        <f>GE26+GE28</f>
        <v>0</v>
      </c>
      <c r="GF31" s="122">
        <f>GF26+GF28</f>
        <v>25000</v>
      </c>
      <c r="GH31" s="122">
        <f>GH26+GH28</f>
        <v>0</v>
      </c>
      <c r="GI31" s="122">
        <f>GI26+GI28</f>
        <v>25000</v>
      </c>
      <c r="GK31" s="122">
        <f>GK26+GK28</f>
        <v>0</v>
      </c>
      <c r="GL31" s="122">
        <f>GL26+GL28</f>
        <v>25000</v>
      </c>
      <c r="GN31" s="122">
        <f>GN26+GN28</f>
        <v>0</v>
      </c>
      <c r="GO31" s="122">
        <f>GO26+GO28</f>
        <v>25000</v>
      </c>
      <c r="GQ31" s="122">
        <f>GQ26+GQ28</f>
        <v>-25000</v>
      </c>
      <c r="GR31" s="122">
        <f>GR26+GR28</f>
        <v>0</v>
      </c>
      <c r="GT31" s="122">
        <f>GT26+GT28</f>
        <v>0</v>
      </c>
      <c r="GU31" s="122">
        <f>GU26+GU28</f>
        <v>0</v>
      </c>
      <c r="GW31" s="122">
        <f>GW26+GW28</f>
        <v>0</v>
      </c>
      <c r="GX31" s="122">
        <f>GX26+GX28</f>
        <v>0</v>
      </c>
      <c r="GZ31" s="122">
        <f>GZ26+GZ28</f>
        <v>0</v>
      </c>
      <c r="HA31" s="430">
        <f>HA26+HA28</f>
        <v>0</v>
      </c>
      <c r="HC31" s="430">
        <f>HC26+HC28</f>
        <v>0</v>
      </c>
      <c r="HE31" s="122">
        <f>HE26+HE28</f>
        <v>0</v>
      </c>
      <c r="HF31" s="235" t="e">
        <f>HE31/HC31</f>
        <v>#DIV/0!</v>
      </c>
    </row>
    <row r="32" spans="1:214" ht="15.75" hidden="1" outlineLevel="1" thickTop="1">
      <c r="A32" s="1" t="s">
        <v>122</v>
      </c>
      <c r="B32" s="1" t="s">
        <v>123</v>
      </c>
      <c r="C32" s="4" t="s">
        <v>124</v>
      </c>
      <c r="D32" s="43">
        <v>25000</v>
      </c>
      <c r="E32" s="34">
        <v>98.28</v>
      </c>
      <c r="F32" s="43">
        <v>25000</v>
      </c>
      <c r="G32" s="34">
        <v>98.28</v>
      </c>
      <c r="H32" s="46">
        <v>24570</v>
      </c>
      <c r="I32" s="36">
        <v>24570</v>
      </c>
      <c r="J32" s="14"/>
      <c r="K32" t="s">
        <v>332</v>
      </c>
      <c r="L32" s="118">
        <v>51900</v>
      </c>
      <c r="M32" s="17">
        <f>L32/F32-1</f>
        <v>1.0760000000000001</v>
      </c>
      <c r="N32" s="17">
        <f>L32/I32-1</f>
        <v>1.1123321123321124</v>
      </c>
      <c r="Q32" s="118">
        <f>L32</f>
        <v>51900</v>
      </c>
      <c r="R32" s="15">
        <v>25950</v>
      </c>
      <c r="S32" s="118">
        <f>Q32</f>
        <v>51900</v>
      </c>
      <c r="T32" s="157">
        <f>S32-Q32</f>
        <v>0</v>
      </c>
      <c r="U32" s="16">
        <f>S32/Q32-1</f>
        <v>0</v>
      </c>
      <c r="Y32" s="118">
        <v>51900</v>
      </c>
      <c r="AA32" s="118">
        <v>51900</v>
      </c>
      <c r="AB32" s="185">
        <f>AA32-Y32</f>
        <v>0</v>
      </c>
      <c r="AC32" s="187">
        <f t="shared" ref="AC32" si="98">AA32-Y32</f>
        <v>0</v>
      </c>
      <c r="AD32" s="187"/>
      <c r="AE32" s="118">
        <v>51900</v>
      </c>
      <c r="AF32" s="182"/>
      <c r="AH32" s="15">
        <v>51900</v>
      </c>
      <c r="AI32" s="17">
        <f t="shared" si="93"/>
        <v>1</v>
      </c>
      <c r="AK32" s="118">
        <v>53600</v>
      </c>
      <c r="AS32" s="15">
        <f t="shared" ref="AS32" si="99">AR32+AK32</f>
        <v>53600</v>
      </c>
      <c r="AV32" s="15">
        <f>AS32+AU32</f>
        <v>53600</v>
      </c>
      <c r="AX32" s="15"/>
      <c r="AY32" s="15">
        <f>AV32+AX32</f>
        <v>53600</v>
      </c>
      <c r="BB32" s="15">
        <f>AY32+BA32</f>
        <v>53600</v>
      </c>
      <c r="BD32" s="15"/>
      <c r="BE32" s="15">
        <f>BB32+BD32</f>
        <v>53600</v>
      </c>
      <c r="BG32" s="15"/>
      <c r="BH32" s="15">
        <f>BE32+BG32</f>
        <v>53600</v>
      </c>
      <c r="BJ32" s="15">
        <v>53560.800000000003</v>
      </c>
      <c r="BK32" s="235">
        <f t="shared" ref="BK32" si="100">BJ32/BH32</f>
        <v>0.99926865671641796</v>
      </c>
      <c r="BM32" s="290">
        <v>55600</v>
      </c>
      <c r="BN32" s="235">
        <f t="shared" ref="BN32" si="101">BM32/BJ32</f>
        <v>1.0380726202745292</v>
      </c>
      <c r="BO32" s="235">
        <f t="shared" ref="BO32" si="102">BM32/BH32</f>
        <v>1.0373134328358209</v>
      </c>
      <c r="BQ32" s="15"/>
      <c r="BR32" s="15">
        <f>BM32+BQ32</f>
        <v>55600</v>
      </c>
      <c r="BT32" s="15"/>
      <c r="BU32" s="15">
        <f>BR32+BT32</f>
        <v>55600</v>
      </c>
      <c r="BW32" s="15"/>
      <c r="BX32" s="15">
        <f>BU32+BW32</f>
        <v>55600</v>
      </c>
      <c r="BZ32" s="15"/>
      <c r="CA32" s="15">
        <f>BX32+BZ32</f>
        <v>55600</v>
      </c>
      <c r="CC32" s="15"/>
      <c r="CD32" s="15">
        <f>CA32+CC32</f>
        <v>55600</v>
      </c>
      <c r="CF32" s="15"/>
      <c r="CG32" s="15">
        <f>CD32+CF32</f>
        <v>55600</v>
      </c>
      <c r="CI32" s="15"/>
      <c r="CJ32" s="15">
        <f>CG32+CI32</f>
        <v>55600</v>
      </c>
      <c r="CM32" s="15">
        <f>CJ32+CL32</f>
        <v>55600</v>
      </c>
      <c r="CP32" s="15">
        <f>CM32+CO32</f>
        <v>55600</v>
      </c>
      <c r="CS32" s="15">
        <f>CP32+CR32</f>
        <v>55600</v>
      </c>
      <c r="CV32" s="15">
        <f>CS32+CU32</f>
        <v>55600</v>
      </c>
      <c r="CY32" s="15">
        <f>CV32+CX32</f>
        <v>55600</v>
      </c>
      <c r="DA32" s="15">
        <v>55596.1</v>
      </c>
      <c r="DC32" s="15">
        <v>0</v>
      </c>
      <c r="DE32" s="15"/>
      <c r="DF32" s="15">
        <f>DC32+DE32</f>
        <v>0</v>
      </c>
      <c r="DH32" s="15"/>
      <c r="DI32" s="15">
        <f>DF32+DH32</f>
        <v>0</v>
      </c>
      <c r="DK32" s="15"/>
      <c r="DL32" s="15">
        <f>DI32+DK32</f>
        <v>0</v>
      </c>
      <c r="DN32" s="15"/>
      <c r="DO32" s="15">
        <f>DL32+DN32</f>
        <v>0</v>
      </c>
      <c r="DQ32" s="15"/>
      <c r="DR32" s="15">
        <f>DO32+DQ32</f>
        <v>0</v>
      </c>
      <c r="DT32" s="15"/>
      <c r="DU32" s="15">
        <f>DR32+DT32</f>
        <v>0</v>
      </c>
      <c r="DW32" s="15"/>
      <c r="DX32" s="15">
        <f>DU32+DW32</f>
        <v>0</v>
      </c>
      <c r="DZ32" s="15"/>
      <c r="EA32" s="15">
        <f>DX32+DZ32</f>
        <v>0</v>
      </c>
      <c r="EC32" s="15"/>
      <c r="ED32" s="15">
        <f>EA32+EC32</f>
        <v>0</v>
      </c>
      <c r="EF32" s="15"/>
      <c r="EG32" s="15">
        <f>ED32+EF32</f>
        <v>0</v>
      </c>
      <c r="EK32" s="15"/>
      <c r="EM32" s="15"/>
      <c r="EN32" s="15">
        <f>EK32+EM32</f>
        <v>0</v>
      </c>
      <c r="EP32" s="15"/>
      <c r="EQ32" s="15">
        <f>EN32+EP32</f>
        <v>0</v>
      </c>
      <c r="ES32" s="15"/>
      <c r="ET32" s="15">
        <f>EQ32+ES32</f>
        <v>0</v>
      </c>
      <c r="EW32" s="15">
        <f>ET32+EV32</f>
        <v>0</v>
      </c>
      <c r="EZ32" s="15">
        <f>EW32+EY32</f>
        <v>0</v>
      </c>
      <c r="FC32" s="15">
        <f>EZ32+FB32</f>
        <v>0</v>
      </c>
      <c r="FF32" s="15">
        <f>FC32+FE32</f>
        <v>0</v>
      </c>
      <c r="FI32" s="15">
        <f>FF32+FH32</f>
        <v>0</v>
      </c>
      <c r="FL32" s="15">
        <f>FI32+FK32</f>
        <v>0</v>
      </c>
      <c r="FO32" s="15">
        <f>FL32+FN32</f>
        <v>0</v>
      </c>
      <c r="FR32" s="15">
        <v>0</v>
      </c>
      <c r="FZ32" s="15">
        <f>FV32+FY32</f>
        <v>0</v>
      </c>
      <c r="GB32" s="15"/>
      <c r="GC32" s="15">
        <f>FZ32+GB32</f>
        <v>0</v>
      </c>
      <c r="GE32" s="15"/>
      <c r="GF32" s="15">
        <f>GC32+GE32</f>
        <v>0</v>
      </c>
      <c r="GH32" s="15"/>
      <c r="GI32" s="15">
        <f>GF32+GH32</f>
        <v>0</v>
      </c>
      <c r="GK32" s="15"/>
      <c r="GL32" s="15">
        <f>GI32+GK32</f>
        <v>0</v>
      </c>
      <c r="GN32" s="15"/>
      <c r="GO32" s="15">
        <f>GL32+GN32</f>
        <v>0</v>
      </c>
      <c r="GQ32" s="15"/>
      <c r="GR32" s="15">
        <f>GO32+GQ32</f>
        <v>0</v>
      </c>
      <c r="GT32" s="15"/>
      <c r="GU32" s="15">
        <f>GR32+GT32</f>
        <v>0</v>
      </c>
      <c r="GW32" s="15"/>
      <c r="GX32" s="15">
        <f>GU32+GW32</f>
        <v>0</v>
      </c>
      <c r="GZ32" s="15"/>
      <c r="HA32" s="189">
        <f>GX32+GZ32</f>
        <v>0</v>
      </c>
    </row>
    <row r="33" spans="1:214" hidden="1" outlineLevel="1">
      <c r="A33" s="1" t="s">
        <v>122</v>
      </c>
      <c r="B33" s="1" t="s">
        <v>581</v>
      </c>
      <c r="C33" s="4" t="s">
        <v>582</v>
      </c>
      <c r="D33" s="43"/>
      <c r="E33" s="34"/>
      <c r="F33" s="43"/>
      <c r="G33" s="34"/>
      <c r="H33" s="46"/>
      <c r="I33" s="36"/>
      <c r="J33" s="14"/>
      <c r="M33" s="17"/>
      <c r="N33" s="17"/>
      <c r="T33" s="157"/>
      <c r="U33" s="16"/>
      <c r="Y33" s="118"/>
      <c r="AB33" s="185"/>
      <c r="AC33" s="187"/>
      <c r="AD33" s="187"/>
      <c r="AF33" s="182"/>
      <c r="AH33" s="15"/>
      <c r="AI33" s="17"/>
      <c r="AS33" s="15"/>
      <c r="AV33" s="15"/>
      <c r="AX33" s="15"/>
      <c r="AY33" s="15"/>
      <c r="BB33" s="15"/>
      <c r="BD33" s="15"/>
      <c r="BE33" s="15"/>
      <c r="BG33" s="15"/>
      <c r="BH33" s="15"/>
      <c r="BK33" s="235"/>
      <c r="BM33" s="290"/>
      <c r="BN33" s="235"/>
      <c r="BO33" s="235"/>
      <c r="BQ33" s="15"/>
      <c r="BR33" s="15"/>
      <c r="BT33" s="15"/>
      <c r="BU33" s="15"/>
      <c r="BW33" s="15"/>
      <c r="BX33" s="15"/>
      <c r="BZ33" s="15"/>
      <c r="CA33" s="15"/>
      <c r="CC33" s="15"/>
      <c r="CD33" s="15"/>
      <c r="CF33" s="15"/>
      <c r="CG33" s="15"/>
      <c r="CI33" s="15"/>
      <c r="CJ33" s="15"/>
      <c r="CM33" s="15"/>
      <c r="CP33" s="15"/>
      <c r="CS33" s="15"/>
      <c r="CV33" s="15"/>
      <c r="CY33" s="15"/>
      <c r="DC33" s="15">
        <v>63991.1</v>
      </c>
      <c r="DE33" s="227">
        <v>-63991</v>
      </c>
      <c r="DF33" s="15">
        <f>DC33+DE33</f>
        <v>9.9999999998544808E-2</v>
      </c>
      <c r="DH33" s="227">
        <v>63991</v>
      </c>
      <c r="DI33" s="15">
        <f>DF33+DH33</f>
        <v>63991.1</v>
      </c>
      <c r="DK33" s="15"/>
      <c r="DL33" s="15">
        <f>DI33+DK33</f>
        <v>63991.1</v>
      </c>
      <c r="DN33" s="15"/>
      <c r="DO33" s="15">
        <f>DL33+DN33</f>
        <v>63991.1</v>
      </c>
      <c r="DQ33" s="15"/>
      <c r="DR33" s="15">
        <f>DO33+DQ33</f>
        <v>63991.1</v>
      </c>
      <c r="DT33" s="15"/>
      <c r="DU33" s="15">
        <f>DR33+DT33</f>
        <v>63991.1</v>
      </c>
      <c r="DW33" s="15"/>
      <c r="DX33" s="15">
        <f>DU33+DW33</f>
        <v>63991.1</v>
      </c>
      <c r="DZ33" s="15"/>
      <c r="EA33" s="15">
        <f>DX33+DZ33</f>
        <v>63991.1</v>
      </c>
      <c r="EC33" s="227">
        <v>1</v>
      </c>
      <c r="ED33" s="15">
        <f>EA33+EC33</f>
        <v>63992.1</v>
      </c>
      <c r="EF33" s="15"/>
      <c r="EG33" s="15">
        <f>ED33+EF33</f>
        <v>63992.1</v>
      </c>
      <c r="EI33" s="15">
        <v>63991.1</v>
      </c>
      <c r="EK33" s="15">
        <v>70838.100000000006</v>
      </c>
      <c r="EM33" s="15"/>
      <c r="EN33" s="15">
        <f>EK33+EM33</f>
        <v>70838.100000000006</v>
      </c>
      <c r="EP33" s="15"/>
      <c r="EQ33" s="15">
        <f>EN33+EP33</f>
        <v>70838.100000000006</v>
      </c>
      <c r="ES33" s="15"/>
      <c r="ET33" s="15">
        <f>EQ33+ES33</f>
        <v>70838.100000000006</v>
      </c>
      <c r="EV33" s="227">
        <v>-6152</v>
      </c>
      <c r="EW33" s="15">
        <f>ET33+EV33</f>
        <v>64686.100000000006</v>
      </c>
      <c r="EZ33" s="15">
        <f>EW33+EY33</f>
        <v>64686.100000000006</v>
      </c>
      <c r="FC33" s="15">
        <f>EZ33+FB33</f>
        <v>64686.100000000006</v>
      </c>
      <c r="FF33" s="15">
        <f>FC33+FE33</f>
        <v>64686.100000000006</v>
      </c>
      <c r="FI33" s="15">
        <f>FF33+FH33</f>
        <v>64686.100000000006</v>
      </c>
      <c r="FL33" s="15">
        <f>FI33+FK33</f>
        <v>64686.100000000006</v>
      </c>
      <c r="FO33" s="15">
        <f>FL33+FN33</f>
        <v>64686.100000000006</v>
      </c>
      <c r="FR33" s="15">
        <v>64686.100000000006</v>
      </c>
      <c r="FT33" s="15">
        <v>64685.3</v>
      </c>
      <c r="FV33" s="15">
        <v>66834.399999999994</v>
      </c>
      <c r="FW33" s="235">
        <f t="shared" ref="FW33" si="103">FV33/FT33</f>
        <v>1.0332239318670546</v>
      </c>
      <c r="FY33" s="227">
        <v>1</v>
      </c>
      <c r="FZ33" s="15">
        <f>FV33+FY33</f>
        <v>66835.399999999994</v>
      </c>
      <c r="GB33" s="15"/>
      <c r="GC33" s="15">
        <f>FZ33+GB33</f>
        <v>66835.399999999994</v>
      </c>
      <c r="GE33" s="15"/>
      <c r="GF33" s="15">
        <f>GC33+GE33</f>
        <v>66835.399999999994</v>
      </c>
      <c r="GH33" s="15"/>
      <c r="GI33" s="15">
        <f>GF33+GH33</f>
        <v>66835.399999999994</v>
      </c>
      <c r="GK33" s="15"/>
      <c r="GL33" s="15">
        <f>GI33+GK33</f>
        <v>66835.399999999994</v>
      </c>
      <c r="GN33" s="15"/>
      <c r="GO33" s="15">
        <f>GL33+GN33</f>
        <v>66835.399999999994</v>
      </c>
      <c r="GQ33" s="15"/>
      <c r="GR33" s="15">
        <f>GO33+GQ33</f>
        <v>66835.399999999994</v>
      </c>
      <c r="GT33" s="15"/>
      <c r="GU33" s="15">
        <f>GR33+GT33</f>
        <v>66835.399999999994</v>
      </c>
      <c r="GW33" s="15"/>
      <c r="GX33" s="15">
        <f>GU33+GW33</f>
        <v>66835.399999999994</v>
      </c>
      <c r="GZ33" s="15"/>
      <c r="HA33" s="189">
        <f>GX33+GZ33</f>
        <v>66835.399999999994</v>
      </c>
      <c r="HC33" s="189">
        <v>66834.399999999994</v>
      </c>
      <c r="HE33" s="189">
        <v>70339.5</v>
      </c>
      <c r="HF33" s="235">
        <f>HE33/HC33</f>
        <v>1.0524445495134243</v>
      </c>
    </row>
    <row r="34" spans="1:214" hidden="1" outlineLevel="1">
      <c r="A34" s="1" t="s">
        <v>122</v>
      </c>
      <c r="B34" s="1" t="s">
        <v>123</v>
      </c>
      <c r="C34" s="4" t="s">
        <v>124</v>
      </c>
      <c r="D34" s="43"/>
      <c r="E34" s="34"/>
      <c r="F34" s="43"/>
      <c r="G34" s="34"/>
      <c r="H34" s="46"/>
      <c r="I34" s="36"/>
      <c r="J34" s="14"/>
      <c r="M34" s="17"/>
      <c r="N34" s="17"/>
      <c r="T34" s="157"/>
      <c r="U34" s="16"/>
      <c r="Y34" s="118"/>
      <c r="AB34" s="185"/>
      <c r="AC34" s="187"/>
      <c r="AD34" s="187"/>
      <c r="AF34" s="182"/>
      <c r="AH34" s="15"/>
      <c r="AI34" s="17"/>
      <c r="AS34" s="15"/>
      <c r="AV34" s="15"/>
      <c r="AX34" s="15"/>
      <c r="AY34" s="15"/>
      <c r="BB34" s="15"/>
      <c r="BD34" s="15"/>
      <c r="BE34" s="15"/>
      <c r="BG34" s="15"/>
      <c r="BH34" s="15"/>
      <c r="BK34" s="235"/>
      <c r="BM34" s="290"/>
      <c r="BN34" s="235"/>
      <c r="BO34" s="235"/>
      <c r="BQ34" s="15"/>
      <c r="BR34" s="15"/>
      <c r="BT34" s="15"/>
      <c r="BU34" s="15"/>
      <c r="BW34" s="15"/>
      <c r="BX34" s="15"/>
      <c r="BZ34" s="15"/>
      <c r="CA34" s="15"/>
      <c r="CC34" s="15"/>
      <c r="CD34" s="15"/>
      <c r="CF34" s="15"/>
      <c r="CG34" s="15"/>
      <c r="CI34" s="15"/>
      <c r="CJ34" s="15"/>
      <c r="CM34" s="15"/>
      <c r="CP34" s="15"/>
      <c r="CS34" s="15"/>
      <c r="CV34" s="15"/>
      <c r="CY34" s="15"/>
      <c r="DE34" s="227">
        <v>63991</v>
      </c>
      <c r="DF34" s="15">
        <f>DC34+DE34</f>
        <v>63991</v>
      </c>
      <c r="DH34" s="227">
        <v>-63991</v>
      </c>
      <c r="DI34" s="15">
        <f>DF34+DH34</f>
        <v>0</v>
      </c>
      <c r="DK34" s="15"/>
      <c r="DL34" s="15">
        <f>DI34+DK34</f>
        <v>0</v>
      </c>
      <c r="DN34" s="15"/>
      <c r="DO34" s="15">
        <f>DL34+DN34</f>
        <v>0</v>
      </c>
      <c r="DQ34" s="15"/>
      <c r="DR34" s="15">
        <f>DO34+DQ34</f>
        <v>0</v>
      </c>
      <c r="DT34" s="15"/>
      <c r="DU34" s="15">
        <f>DR34+DT34</f>
        <v>0</v>
      </c>
      <c r="DW34" s="15"/>
      <c r="DX34" s="15">
        <f>DU34+DW34</f>
        <v>0</v>
      </c>
      <c r="DZ34" s="15"/>
      <c r="EA34" s="15">
        <f>DX34+DZ34</f>
        <v>0</v>
      </c>
      <c r="EC34" s="15"/>
      <c r="ED34" s="15">
        <f>EA34+EC34</f>
        <v>0</v>
      </c>
      <c r="EF34" s="15"/>
      <c r="EG34" s="15">
        <f>ED34+EF34</f>
        <v>0</v>
      </c>
      <c r="EK34" s="15"/>
      <c r="EM34" s="15"/>
      <c r="EN34" s="15">
        <f>EK34+EM34</f>
        <v>0</v>
      </c>
      <c r="EP34" s="15"/>
      <c r="EQ34" s="15">
        <f>EN34+EP34</f>
        <v>0</v>
      </c>
      <c r="ES34" s="15"/>
      <c r="ET34" s="15">
        <f>EQ34+ES34</f>
        <v>0</v>
      </c>
      <c r="EW34" s="15">
        <f>ET34+EV34</f>
        <v>0</v>
      </c>
      <c r="EZ34" s="15">
        <f>EW34+EY34</f>
        <v>0</v>
      </c>
      <c r="FC34" s="15">
        <f>EZ34+FB34</f>
        <v>0</v>
      </c>
      <c r="FF34" s="15">
        <f>FC34+FE34</f>
        <v>0</v>
      </c>
      <c r="FI34" s="15">
        <f>FF34+FH34</f>
        <v>0</v>
      </c>
      <c r="FL34" s="15">
        <f>FI34+FK34</f>
        <v>0</v>
      </c>
      <c r="FO34" s="15">
        <f>FL34+FN34</f>
        <v>0</v>
      </c>
      <c r="FR34" s="15">
        <v>0</v>
      </c>
      <c r="FZ34" s="15">
        <f>FV34+FY34</f>
        <v>0</v>
      </c>
      <c r="GB34" s="15"/>
      <c r="GC34" s="15">
        <f>FZ34+GB34</f>
        <v>0</v>
      </c>
      <c r="GE34" s="15"/>
      <c r="GF34" s="15">
        <f>GC34+GE34</f>
        <v>0</v>
      </c>
      <c r="GH34" s="15"/>
      <c r="GI34" s="15">
        <f>GF34+GH34</f>
        <v>0</v>
      </c>
      <c r="GK34" s="15"/>
      <c r="GL34" s="15">
        <f>GI34+GK34</f>
        <v>0</v>
      </c>
      <c r="GN34" s="15"/>
      <c r="GO34" s="15">
        <f>GL34+GN34</f>
        <v>0</v>
      </c>
      <c r="GQ34" s="15"/>
      <c r="GR34" s="15">
        <f>GO34+GQ34</f>
        <v>0</v>
      </c>
      <c r="GT34" s="15"/>
      <c r="GU34" s="15">
        <f>GR34+GT34</f>
        <v>0</v>
      </c>
      <c r="GW34" s="15"/>
      <c r="GX34" s="15">
        <f>GU34+GW34</f>
        <v>0</v>
      </c>
      <c r="GZ34" s="15"/>
      <c r="HA34" s="189">
        <f>GX34+GZ34</f>
        <v>0</v>
      </c>
    </row>
    <row r="35" spans="1:214" hidden="1" outlineLevel="1">
      <c r="A35" s="1" t="s">
        <v>122</v>
      </c>
      <c r="B35" s="4" t="s">
        <v>46</v>
      </c>
      <c r="C35" s="4" t="s">
        <v>125</v>
      </c>
      <c r="D35" s="43">
        <v>25000</v>
      </c>
      <c r="E35" s="34">
        <v>98.28</v>
      </c>
      <c r="F35" s="43">
        <v>25000</v>
      </c>
      <c r="G35" s="34">
        <v>98.28</v>
      </c>
      <c r="H35" s="46">
        <v>24570</v>
      </c>
      <c r="I35" s="36"/>
      <c r="J35" s="14"/>
      <c r="Y35" s="118"/>
      <c r="AF35" s="182"/>
      <c r="AH35" s="15"/>
      <c r="AX35" s="15"/>
      <c r="BD35" s="15"/>
      <c r="BG35" s="15"/>
      <c r="DE35" s="15"/>
      <c r="DH35" s="15"/>
      <c r="DK35" s="15"/>
      <c r="DN35" s="15"/>
      <c r="DQ35" s="15"/>
      <c r="DT35" s="15"/>
      <c r="DW35" s="15"/>
      <c r="DZ35" s="15"/>
      <c r="EC35" s="15"/>
      <c r="EF35" s="15"/>
      <c r="EK35" s="15"/>
      <c r="EM35" s="15"/>
      <c r="EP35" s="15"/>
      <c r="ES35" s="15"/>
      <c r="GB35" s="15"/>
      <c r="GE35" s="15"/>
      <c r="GH35" s="15"/>
      <c r="GK35" s="15"/>
      <c r="GN35" s="15"/>
      <c r="GQ35" s="15"/>
      <c r="GT35" s="15"/>
      <c r="GW35" s="15"/>
      <c r="GZ35" s="15"/>
    </row>
    <row r="36" spans="1:214" hidden="1" outlineLevel="1">
      <c r="A36" s="1" t="s">
        <v>126</v>
      </c>
      <c r="B36" s="4" t="s">
        <v>48</v>
      </c>
      <c r="C36" s="4" t="s">
        <v>127</v>
      </c>
      <c r="D36" s="43">
        <v>25000</v>
      </c>
      <c r="E36" s="34">
        <v>98.28</v>
      </c>
      <c r="F36" s="43">
        <v>25000</v>
      </c>
      <c r="G36" s="34">
        <v>98.28</v>
      </c>
      <c r="H36" s="46">
        <v>24570</v>
      </c>
      <c r="I36" s="36"/>
      <c r="J36" s="14"/>
      <c r="Y36" s="118"/>
      <c r="AF36" s="182"/>
      <c r="AH36" s="15"/>
      <c r="AX36" s="15"/>
      <c r="BD36" s="15"/>
      <c r="BG36" s="15"/>
      <c r="DE36" s="15"/>
      <c r="DH36" s="15"/>
      <c r="DK36" s="15"/>
      <c r="DN36" s="15"/>
      <c r="DQ36" s="15"/>
      <c r="DT36" s="15"/>
      <c r="DW36" s="15"/>
      <c r="DZ36" s="15"/>
      <c r="EC36" s="15"/>
      <c r="EF36" s="15"/>
      <c r="EK36" s="15"/>
      <c r="EM36" s="15"/>
      <c r="EP36" s="15"/>
      <c r="ES36" s="15"/>
      <c r="GB36" s="15"/>
      <c r="GE36" s="15"/>
      <c r="GH36" s="15"/>
      <c r="GK36" s="15"/>
      <c r="GN36" s="15"/>
      <c r="GQ36" s="15"/>
      <c r="GT36" s="15"/>
      <c r="GW36" s="15"/>
      <c r="GZ36" s="15"/>
    </row>
    <row r="37" spans="1:214" ht="14.25" customHeight="1" collapsed="1" thickTop="1" thickBot="1">
      <c r="A37" s="54" t="s">
        <v>126</v>
      </c>
      <c r="B37" s="55" t="s">
        <v>316</v>
      </c>
      <c r="C37" s="56" t="s">
        <v>325</v>
      </c>
      <c r="D37" s="57">
        <f>D32</f>
        <v>25000</v>
      </c>
      <c r="E37" s="58"/>
      <c r="F37" s="57">
        <f>F32</f>
        <v>25000</v>
      </c>
      <c r="G37" s="58"/>
      <c r="H37" s="57"/>
      <c r="I37" s="57">
        <f>I32</f>
        <v>24570</v>
      </c>
      <c r="J37" s="138" t="e">
        <f>I37/$I$350</f>
        <v>#REF!</v>
      </c>
      <c r="K37" s="60"/>
      <c r="L37" s="122">
        <f>L32</f>
        <v>51900</v>
      </c>
      <c r="M37" s="61">
        <f>L37/F37-1</f>
        <v>1.0760000000000001</v>
      </c>
      <c r="N37" s="61">
        <f>L37/I37-1</f>
        <v>1.1123321123321124</v>
      </c>
      <c r="O37" s="17">
        <f>L37/$L$350</f>
        <v>1.2041763564580298E-2</v>
      </c>
      <c r="P37" s="17"/>
      <c r="Q37" s="122">
        <f>Q32</f>
        <v>51900</v>
      </c>
      <c r="R37" s="122">
        <f>R32</f>
        <v>25950</v>
      </c>
      <c r="S37" s="122">
        <f>S32</f>
        <v>51900</v>
      </c>
      <c r="T37" s="122">
        <f>T32</f>
        <v>0</v>
      </c>
      <c r="U37" s="155">
        <f>S37/Q37-1</f>
        <v>0</v>
      </c>
      <c r="Y37" s="122">
        <f>Y32</f>
        <v>51900</v>
      </c>
      <c r="AA37" s="122">
        <f>AA32</f>
        <v>51900</v>
      </c>
      <c r="AB37" s="122">
        <f>AB32</f>
        <v>0</v>
      </c>
      <c r="AE37" s="122">
        <f>AE32</f>
        <v>51900</v>
      </c>
      <c r="AF37" s="182"/>
      <c r="AH37" s="122">
        <f>AH32</f>
        <v>51900</v>
      </c>
      <c r="AI37" s="17">
        <f t="shared" ref="AI37" si="104">AH37/AE37</f>
        <v>1</v>
      </c>
      <c r="AK37" s="122">
        <f>AK32</f>
        <v>53600</v>
      </c>
      <c r="AL37" s="193">
        <f>AK37/L37</f>
        <v>1.0327552986512525</v>
      </c>
      <c r="AM37" s="17">
        <f>AK37/AE37</f>
        <v>1.0327552986512525</v>
      </c>
      <c r="AN37" s="17">
        <f>AK37/AH37</f>
        <v>1.0327552986512525</v>
      </c>
      <c r="AS37" s="122">
        <f>AS32</f>
        <v>53600</v>
      </c>
      <c r="AU37" s="122">
        <f>AU32</f>
        <v>0</v>
      </c>
      <c r="AV37" s="122">
        <f>AV32</f>
        <v>53600</v>
      </c>
      <c r="AX37" s="122">
        <f>AX32</f>
        <v>0</v>
      </c>
      <c r="AY37" s="122">
        <f>AY32</f>
        <v>53600</v>
      </c>
      <c r="BA37" s="122">
        <f>BA32</f>
        <v>0</v>
      </c>
      <c r="BB37" s="122">
        <f>BB32</f>
        <v>53600</v>
      </c>
      <c r="BD37" s="122">
        <f>BD32</f>
        <v>0</v>
      </c>
      <c r="BE37" s="122">
        <f>BE32</f>
        <v>53600</v>
      </c>
      <c r="BG37" s="122">
        <f>BG32</f>
        <v>0</v>
      </c>
      <c r="BH37" s="122">
        <f>BH32</f>
        <v>53600</v>
      </c>
      <c r="BJ37" s="122">
        <f>BJ32</f>
        <v>53560.800000000003</v>
      </c>
      <c r="BK37" s="236">
        <f t="shared" ref="BK37" si="105">BJ37/BH37</f>
        <v>0.99926865671641796</v>
      </c>
      <c r="BM37" s="122">
        <f>BM32</f>
        <v>55600</v>
      </c>
      <c r="BN37" s="236">
        <f t="shared" ref="BN37" si="106">BM37/BJ37</f>
        <v>1.0380726202745292</v>
      </c>
      <c r="BO37" s="236">
        <f t="shared" ref="BO37" si="107">BM37/BH37</f>
        <v>1.0373134328358209</v>
      </c>
      <c r="BQ37" s="122">
        <f>BQ32</f>
        <v>0</v>
      </c>
      <c r="BR37" s="122">
        <f>BR32</f>
        <v>55600</v>
      </c>
      <c r="BT37" s="122">
        <f>BT32</f>
        <v>0</v>
      </c>
      <c r="BU37" s="122">
        <f>BU32</f>
        <v>55600</v>
      </c>
      <c r="BW37" s="122">
        <f>BW32</f>
        <v>0</v>
      </c>
      <c r="BX37" s="122">
        <f>BX32</f>
        <v>55600</v>
      </c>
      <c r="BZ37" s="122">
        <f>BZ32</f>
        <v>0</v>
      </c>
      <c r="CA37" s="122">
        <f>CA32</f>
        <v>55600</v>
      </c>
      <c r="CC37" s="122">
        <f>CC32</f>
        <v>0</v>
      </c>
      <c r="CD37" s="122">
        <f>CD32</f>
        <v>55600</v>
      </c>
      <c r="CF37" s="122">
        <f>CF32</f>
        <v>0</v>
      </c>
      <c r="CG37" s="122">
        <f>CG32</f>
        <v>55600</v>
      </c>
      <c r="CI37" s="122">
        <f>CI32</f>
        <v>0</v>
      </c>
      <c r="CJ37" s="122">
        <f>CJ32</f>
        <v>55600</v>
      </c>
      <c r="CL37" s="319">
        <f>CL32</f>
        <v>0</v>
      </c>
      <c r="CM37" s="122">
        <f>CM32</f>
        <v>55600</v>
      </c>
      <c r="CO37" s="122">
        <f>CO32</f>
        <v>0</v>
      </c>
      <c r="CP37" s="122">
        <f>CP32</f>
        <v>55600</v>
      </c>
      <c r="CR37" s="122">
        <f>CR32</f>
        <v>0</v>
      </c>
      <c r="CS37" s="122">
        <f>CS32</f>
        <v>55600</v>
      </c>
      <c r="CU37" s="122">
        <f>CU32</f>
        <v>0</v>
      </c>
      <c r="CV37" s="122">
        <f>CV32</f>
        <v>55600</v>
      </c>
      <c r="CX37" s="122">
        <f>CX32</f>
        <v>0</v>
      </c>
      <c r="CY37" s="122">
        <f>CY32</f>
        <v>55600</v>
      </c>
      <c r="DA37" s="122">
        <f>DA32</f>
        <v>55596.1</v>
      </c>
      <c r="DC37" s="122">
        <f>DC32+DC34+DC33</f>
        <v>63991.1</v>
      </c>
      <c r="DE37" s="122">
        <f>DE32+DE34+DE33</f>
        <v>0</v>
      </c>
      <c r="DF37" s="122">
        <f>DF32+DF34+DF33</f>
        <v>63991.1</v>
      </c>
      <c r="DH37" s="122">
        <f>DH32+DH34+DH33</f>
        <v>0</v>
      </c>
      <c r="DI37" s="122">
        <f>DI32+DI34+DI33</f>
        <v>63991.1</v>
      </c>
      <c r="DK37" s="122">
        <f>DK32+DK34+DK33</f>
        <v>0</v>
      </c>
      <c r="DL37" s="122">
        <f>DL32+DL34+DL33</f>
        <v>63991.1</v>
      </c>
      <c r="DN37" s="122">
        <f>DN32+DN34+DN33</f>
        <v>0</v>
      </c>
      <c r="DO37" s="122">
        <f>DO32+DO34+DO33</f>
        <v>63991.1</v>
      </c>
      <c r="DQ37" s="122">
        <f>DQ32+DQ34+DQ33</f>
        <v>0</v>
      </c>
      <c r="DR37" s="122">
        <f>DR32+DR34+DR33</f>
        <v>63991.1</v>
      </c>
      <c r="DT37" s="122">
        <f>DT32+DT34+DT33</f>
        <v>0</v>
      </c>
      <c r="DU37" s="122">
        <f>DU32+DU34+DU33</f>
        <v>63991.1</v>
      </c>
      <c r="DW37" s="122">
        <f>DW32+DW34+DW33</f>
        <v>0</v>
      </c>
      <c r="DX37" s="122">
        <f>DX32+DX34+DX33</f>
        <v>63991.1</v>
      </c>
      <c r="DZ37" s="122">
        <f>DZ32+DZ34+DZ33</f>
        <v>0</v>
      </c>
      <c r="EA37" s="122">
        <f>EA32+EA34+EA33</f>
        <v>63991.1</v>
      </c>
      <c r="EC37" s="122">
        <f>EC32+EC34+EC33</f>
        <v>1</v>
      </c>
      <c r="ED37" s="122">
        <f>ED32+ED34+ED33</f>
        <v>63992.1</v>
      </c>
      <c r="EF37" s="122">
        <f>EF32+EF34+EF33</f>
        <v>0</v>
      </c>
      <c r="EG37" s="122">
        <f>EG32+EG34+EG33</f>
        <v>63992.1</v>
      </c>
      <c r="EI37" s="122">
        <f>EI32+EI34+EI33</f>
        <v>63991.1</v>
      </c>
      <c r="EK37" s="122">
        <f>EK32+EK34+EK33</f>
        <v>70838.100000000006</v>
      </c>
      <c r="EL37" s="377">
        <f>EK37/EI37-1</f>
        <v>0.10699925458384074</v>
      </c>
      <c r="EM37" s="122">
        <f>EM32+EM34+EM33</f>
        <v>0</v>
      </c>
      <c r="EN37" s="122">
        <f>EN32+EN34+EN33</f>
        <v>70838.100000000006</v>
      </c>
      <c r="EP37" s="122">
        <f>EP32+EP34+EP33</f>
        <v>0</v>
      </c>
      <c r="EQ37" s="122">
        <f>EQ32+EQ34+EQ33</f>
        <v>70838.100000000006</v>
      </c>
      <c r="ES37" s="122">
        <f>ES32+ES34+ES33</f>
        <v>0</v>
      </c>
      <c r="ET37" s="122">
        <f>ET32+ET34+ET33</f>
        <v>70838.100000000006</v>
      </c>
      <c r="EV37" s="122">
        <f>EV32+EV34+EV33</f>
        <v>-6152</v>
      </c>
      <c r="EW37" s="122">
        <f>EW32+EW34+EW33</f>
        <v>64686.100000000006</v>
      </c>
      <c r="EY37" s="122">
        <f>EY32+EY34+EY33</f>
        <v>0</v>
      </c>
      <c r="EZ37" s="122">
        <f>EZ32+EZ34+EZ33</f>
        <v>64686.100000000006</v>
      </c>
      <c r="FB37" s="122">
        <f>FB32+FB34+FB33</f>
        <v>0</v>
      </c>
      <c r="FC37" s="122">
        <f>FC32+FC34+FC33</f>
        <v>64686.100000000006</v>
      </c>
      <c r="FE37" s="122">
        <f>FE32+FE34+FE33</f>
        <v>0</v>
      </c>
      <c r="FF37" s="122">
        <f>FF32+FF34+FF33</f>
        <v>64686.100000000006</v>
      </c>
      <c r="FH37" s="122">
        <f>FH32+FH34+FH33</f>
        <v>0</v>
      </c>
      <c r="FI37" s="122">
        <f>FI32+FI34+FI33</f>
        <v>64686.100000000006</v>
      </c>
      <c r="FK37" s="122">
        <f>FK32+FK34+FK33</f>
        <v>0</v>
      </c>
      <c r="FL37" s="122">
        <f>FL32+FL34+FL33</f>
        <v>64686.100000000006</v>
      </c>
      <c r="FN37" s="122">
        <f>FN32+FN34+FN33</f>
        <v>0</v>
      </c>
      <c r="FO37" s="122">
        <f>FO32+FO34+FO33</f>
        <v>64686.100000000006</v>
      </c>
      <c r="FQ37" s="122">
        <v>0</v>
      </c>
      <c r="FR37" s="122">
        <v>64686.100000000006</v>
      </c>
      <c r="FT37" s="122">
        <f>FT32+FT34+FT33</f>
        <v>64685.3</v>
      </c>
      <c r="FV37" s="122">
        <f>FV32+FV34+FV33</f>
        <v>66834.399999999994</v>
      </c>
      <c r="FW37" s="235">
        <f t="shared" ref="FW37" si="108">FV37/FT37</f>
        <v>1.0332239318670546</v>
      </c>
      <c r="FY37" s="122">
        <f>FY32+FY34+FY33</f>
        <v>1</v>
      </c>
      <c r="FZ37" s="122">
        <f>FZ32+FZ34+FZ33</f>
        <v>66835.399999999994</v>
      </c>
      <c r="GB37" s="122">
        <f>GB32+GB34+GB33</f>
        <v>0</v>
      </c>
      <c r="GC37" s="122">
        <f>GC32+GC34+GC33</f>
        <v>66835.399999999994</v>
      </c>
      <c r="GE37" s="122">
        <f>GE32+GE34+GE33</f>
        <v>0</v>
      </c>
      <c r="GF37" s="122">
        <f>GF32+GF34+GF33</f>
        <v>66835.399999999994</v>
      </c>
      <c r="GH37" s="122">
        <f>GH32+GH34+GH33</f>
        <v>0</v>
      </c>
      <c r="GI37" s="122">
        <f>GI32+GI34+GI33</f>
        <v>66835.399999999994</v>
      </c>
      <c r="GK37" s="122">
        <f>GK32+GK34+GK33</f>
        <v>0</v>
      </c>
      <c r="GL37" s="122">
        <f>GL32+GL34+GL33</f>
        <v>66835.399999999994</v>
      </c>
      <c r="GN37" s="122">
        <f>GN32+GN34+GN33</f>
        <v>0</v>
      </c>
      <c r="GO37" s="122">
        <f>GO32+GO34+GO33</f>
        <v>66835.399999999994</v>
      </c>
      <c r="GQ37" s="122">
        <f>GQ32+GQ34+GQ33</f>
        <v>0</v>
      </c>
      <c r="GR37" s="122">
        <f>GR32+GR34+GR33</f>
        <v>66835.399999999994</v>
      </c>
      <c r="GT37" s="122">
        <f>GT32+GT34+GT33</f>
        <v>0</v>
      </c>
      <c r="GU37" s="122">
        <f>GU32+GU34+GU33</f>
        <v>66835.399999999994</v>
      </c>
      <c r="GW37" s="122">
        <f>GW32+GW34+GW33</f>
        <v>0</v>
      </c>
      <c r="GX37" s="122">
        <f>GX32+GX34+GX33</f>
        <v>66835.399999999994</v>
      </c>
      <c r="GZ37" s="122">
        <f>GZ32+GZ34+GZ33</f>
        <v>0</v>
      </c>
      <c r="HA37" s="430">
        <f>HA32+HA34+HA33</f>
        <v>66835.399999999994</v>
      </c>
      <c r="HC37" s="430">
        <f>HC32+HC34+HC33</f>
        <v>66834.399999999994</v>
      </c>
      <c r="HE37" s="122">
        <f>HE32+HE34+HE33</f>
        <v>70339.5</v>
      </c>
      <c r="HF37" s="235">
        <f>HE37/HC37</f>
        <v>1.0524445495134243</v>
      </c>
    </row>
    <row r="38" spans="1:214" ht="15.75" outlineLevel="1" thickTop="1">
      <c r="A38" s="1" t="s">
        <v>128</v>
      </c>
      <c r="B38" s="1" t="s">
        <v>115</v>
      </c>
      <c r="C38" s="4" t="s">
        <v>116</v>
      </c>
      <c r="D38" s="43">
        <v>2000</v>
      </c>
      <c r="E38" s="34">
        <v>0</v>
      </c>
      <c r="F38" s="43">
        <v>2000</v>
      </c>
      <c r="G38" s="34">
        <v>0</v>
      </c>
      <c r="H38" s="46">
        <v>0</v>
      </c>
      <c r="I38" s="36">
        <v>0</v>
      </c>
      <c r="J38" s="14"/>
      <c r="M38" s="17">
        <f>L38/F38-1</f>
        <v>-1</v>
      </c>
      <c r="N38" s="17" t="e">
        <f>L38/I38-1</f>
        <v>#DIV/0!</v>
      </c>
      <c r="AF38" s="182"/>
      <c r="AH38" s="15"/>
      <c r="AX38" s="15"/>
      <c r="BD38" s="15"/>
      <c r="BG38" s="15"/>
      <c r="DE38" s="15"/>
      <c r="DH38" s="15"/>
      <c r="DK38" s="15"/>
      <c r="DN38" s="15"/>
      <c r="DQ38" s="15"/>
      <c r="DT38" s="15"/>
      <c r="DW38" s="15"/>
      <c r="DZ38" s="15"/>
      <c r="EC38" s="15"/>
      <c r="EF38" s="15"/>
      <c r="EK38" s="15"/>
      <c r="EM38" s="15"/>
      <c r="EP38" s="15"/>
      <c r="ES38" s="15"/>
      <c r="GB38" s="15"/>
      <c r="GE38" s="15"/>
      <c r="GH38" s="15"/>
      <c r="GK38" s="15"/>
      <c r="GN38" s="15"/>
      <c r="GQ38" s="15"/>
      <c r="GT38" s="15"/>
      <c r="GW38" s="15"/>
      <c r="GZ38" s="15"/>
    </row>
    <row r="39" spans="1:214" outlineLevel="1">
      <c r="A39" s="1" t="s">
        <v>128</v>
      </c>
      <c r="B39" s="1" t="s">
        <v>117</v>
      </c>
      <c r="C39" s="4" t="s">
        <v>118</v>
      </c>
      <c r="D39" s="43"/>
      <c r="E39" s="34"/>
      <c r="F39" s="43"/>
      <c r="G39" s="34"/>
      <c r="H39" s="46"/>
      <c r="I39" s="36"/>
      <c r="J39" s="14"/>
      <c r="M39" s="17"/>
      <c r="N39" s="17"/>
      <c r="AF39" s="182"/>
      <c r="AH39" s="15"/>
      <c r="AX39" s="15"/>
      <c r="BD39" s="15"/>
      <c r="BG39" s="15"/>
      <c r="DE39" s="15"/>
      <c r="DH39" s="15"/>
      <c r="DK39" s="15"/>
      <c r="DN39" s="15"/>
      <c r="DQ39" s="15"/>
      <c r="DT39" s="15"/>
      <c r="DW39" s="15"/>
      <c r="DZ39" s="15"/>
      <c r="EC39" s="15"/>
      <c r="EF39" s="15"/>
      <c r="EK39" s="15"/>
      <c r="EM39" s="15"/>
      <c r="EP39" s="15"/>
      <c r="ES39" s="15"/>
      <c r="FB39" s="227">
        <v>16000</v>
      </c>
      <c r="FC39" s="15">
        <f>EZ39+FB39</f>
        <v>16000</v>
      </c>
      <c r="FF39" s="15">
        <f>FC39+FE39</f>
        <v>16000</v>
      </c>
      <c r="FI39" s="15">
        <f>FF39+FH39</f>
        <v>16000</v>
      </c>
      <c r="FK39" s="227">
        <v>5000</v>
      </c>
      <c r="FL39" s="15">
        <f>FI39+FK39</f>
        <v>21000</v>
      </c>
      <c r="FO39" s="15">
        <f>FL39+FN39</f>
        <v>21000</v>
      </c>
      <c r="FR39" s="15">
        <v>21000</v>
      </c>
      <c r="FT39" s="15">
        <v>14857.32</v>
      </c>
      <c r="FV39" s="15">
        <v>25000</v>
      </c>
      <c r="FW39" s="235">
        <f t="shared" ref="FW39:FW40" si="109">FV39/FT39</f>
        <v>1.6826722450616936</v>
      </c>
      <c r="FY39" s="227">
        <v>-1</v>
      </c>
      <c r="FZ39" s="15">
        <f>FV39+FY39</f>
        <v>24999</v>
      </c>
      <c r="GB39" s="15"/>
      <c r="GC39" s="15">
        <f>FZ39+GB39</f>
        <v>24999</v>
      </c>
      <c r="GE39" s="15"/>
      <c r="GF39" s="15">
        <f>GC39+GE39</f>
        <v>24999</v>
      </c>
      <c r="GH39" s="15"/>
      <c r="GI39" s="15">
        <f>GF39+GH39</f>
        <v>24999</v>
      </c>
      <c r="GK39" s="15"/>
      <c r="GL39" s="15">
        <f>GI39+GK39</f>
        <v>24999</v>
      </c>
      <c r="GN39" s="15"/>
      <c r="GO39" s="15">
        <f>GL39+GN39</f>
        <v>24999</v>
      </c>
      <c r="GQ39" s="15"/>
      <c r="GR39" s="15">
        <f>GO39+GQ39</f>
        <v>24999</v>
      </c>
      <c r="GT39" s="15"/>
      <c r="GU39" s="15">
        <f>GR39+GT39</f>
        <v>24999</v>
      </c>
      <c r="GW39" s="227">
        <v>-9314</v>
      </c>
      <c r="GX39" s="15">
        <f>GU39+GW39</f>
        <v>15685</v>
      </c>
      <c r="GZ39" s="15"/>
      <c r="HA39" s="189">
        <f>GX39+GZ39</f>
        <v>15685</v>
      </c>
      <c r="HC39" s="189">
        <v>14687</v>
      </c>
      <c r="HE39" s="15">
        <v>15000</v>
      </c>
      <c r="HF39" s="235">
        <f>HE39/HC39</f>
        <v>1.0213113637911078</v>
      </c>
    </row>
    <row r="40" spans="1:214" outlineLevel="1">
      <c r="A40" s="1" t="s">
        <v>128</v>
      </c>
      <c r="B40" s="1" t="s">
        <v>129</v>
      </c>
      <c r="C40" s="4" t="s">
        <v>130</v>
      </c>
      <c r="D40" s="43">
        <v>565000</v>
      </c>
      <c r="E40" s="34">
        <v>52.04</v>
      </c>
      <c r="F40" s="43">
        <v>565000</v>
      </c>
      <c r="G40" s="34">
        <v>52.04</v>
      </c>
      <c r="H40" s="46">
        <v>294000</v>
      </c>
      <c r="I40" s="15">
        <f>H40/2*3</f>
        <v>441000</v>
      </c>
      <c r="K40" t="s">
        <v>332</v>
      </c>
      <c r="L40" s="126">
        <v>441000</v>
      </c>
      <c r="M40" s="17">
        <f>L40/F40-1</f>
        <v>-0.21946902654867262</v>
      </c>
      <c r="N40" s="17">
        <f>L40/I40-1</f>
        <v>0</v>
      </c>
      <c r="O40" t="s">
        <v>388</v>
      </c>
      <c r="Q40" s="118">
        <v>571000</v>
      </c>
      <c r="R40" s="15">
        <v>290000</v>
      </c>
      <c r="S40" s="118">
        <v>571000</v>
      </c>
      <c r="T40" s="157">
        <f>S40-Q40</f>
        <v>0</v>
      </c>
      <c r="U40" s="16">
        <f>S40/Q40-1</f>
        <v>0</v>
      </c>
      <c r="Y40" s="118">
        <v>571000</v>
      </c>
      <c r="AA40" s="118">
        <v>571000</v>
      </c>
      <c r="AB40" s="185">
        <f>AA40-Y40</f>
        <v>0</v>
      </c>
      <c r="AC40" s="187">
        <f t="shared" ref="AC40" si="110">AA40-Y40</f>
        <v>0</v>
      </c>
      <c r="AD40" s="187"/>
      <c r="AE40" s="118">
        <v>571000</v>
      </c>
      <c r="AF40" s="182"/>
      <c r="AH40" s="15">
        <v>571000</v>
      </c>
      <c r="AI40" s="17">
        <f t="shared" ref="AI40" si="111">AH40/AE40</f>
        <v>1</v>
      </c>
      <c r="AK40" s="118">
        <v>571000</v>
      </c>
      <c r="AS40" s="15">
        <f t="shared" ref="AS40" si="112">AR40+AK40</f>
        <v>571000</v>
      </c>
      <c r="AV40" s="15">
        <f>AS40+AU40</f>
        <v>571000</v>
      </c>
      <c r="AX40" s="15"/>
      <c r="AY40" s="15">
        <f>AV40+AX40</f>
        <v>571000</v>
      </c>
      <c r="BB40" s="15">
        <f>AY40+BA40</f>
        <v>571000</v>
      </c>
      <c r="BD40" s="15"/>
      <c r="BE40" s="15">
        <f>BB40+BD40</f>
        <v>571000</v>
      </c>
      <c r="BG40" s="15"/>
      <c r="BH40" s="15">
        <f>BE40+BG40</f>
        <v>571000</v>
      </c>
      <c r="BJ40" s="15">
        <v>571000</v>
      </c>
      <c r="BK40" s="235">
        <f t="shared" ref="BK40" si="113">BJ40/BH40</f>
        <v>1</v>
      </c>
      <c r="BM40" s="290">
        <v>571000</v>
      </c>
      <c r="BN40" s="235">
        <f t="shared" ref="BN40" si="114">BM40/BJ40</f>
        <v>1</v>
      </c>
      <c r="BO40" s="235">
        <f t="shared" ref="BO40" si="115">BM40/BH40</f>
        <v>1</v>
      </c>
      <c r="BQ40" s="15"/>
      <c r="BR40" s="15">
        <f>BM40+BQ40</f>
        <v>571000</v>
      </c>
      <c r="BT40" s="15"/>
      <c r="BU40" s="15">
        <f>BR40+BT40</f>
        <v>571000</v>
      </c>
      <c r="BW40" s="15"/>
      <c r="BX40" s="15">
        <f>BU40+BW40</f>
        <v>571000</v>
      </c>
      <c r="BZ40" s="15"/>
      <c r="CA40" s="15">
        <f>BX40+BZ40</f>
        <v>571000</v>
      </c>
      <c r="CC40" s="15"/>
      <c r="CD40" s="15">
        <f>CA40+CC40</f>
        <v>571000</v>
      </c>
      <c r="CF40" s="15"/>
      <c r="CG40" s="15">
        <f>CD40+CF40</f>
        <v>571000</v>
      </c>
      <c r="CI40" s="15"/>
      <c r="CJ40" s="15">
        <f>CG40+CI40</f>
        <v>571000</v>
      </c>
      <c r="CM40" s="15">
        <f>CJ40+CL40</f>
        <v>571000</v>
      </c>
      <c r="CP40" s="15">
        <f>CM40+CO40</f>
        <v>571000</v>
      </c>
      <c r="CS40" s="15">
        <f>CP40+CR40</f>
        <v>571000</v>
      </c>
      <c r="CV40" s="15">
        <f>CS40+CU40</f>
        <v>571000</v>
      </c>
      <c r="CY40" s="15">
        <f>CV40+CX40</f>
        <v>571000</v>
      </c>
      <c r="DA40" s="15">
        <v>571000</v>
      </c>
      <c r="DC40" s="15">
        <v>571000</v>
      </c>
      <c r="DE40" s="15"/>
      <c r="DF40" s="15">
        <f>DC40+DE40</f>
        <v>571000</v>
      </c>
      <c r="DH40" s="15"/>
      <c r="DI40" s="15">
        <f>DF40+DH40</f>
        <v>571000</v>
      </c>
      <c r="DK40" s="15"/>
      <c r="DL40" s="15">
        <f>DI40+DK40</f>
        <v>571000</v>
      </c>
      <c r="DN40" s="15"/>
      <c r="DO40" s="15">
        <f>DL40+DN40</f>
        <v>571000</v>
      </c>
      <c r="DQ40" s="15"/>
      <c r="DR40" s="15">
        <f>DO40+DQ40</f>
        <v>571000</v>
      </c>
      <c r="DT40" s="15"/>
      <c r="DU40" s="15">
        <f>DR40+DT40</f>
        <v>571000</v>
      </c>
      <c r="DW40" s="15"/>
      <c r="DX40" s="15">
        <f>DU40+DW40</f>
        <v>571000</v>
      </c>
      <c r="DZ40" s="15"/>
      <c r="EA40" s="15">
        <f>DX40+DZ40</f>
        <v>571000</v>
      </c>
      <c r="EC40" s="15"/>
      <c r="ED40" s="15">
        <f>EA40+EC40</f>
        <v>571000</v>
      </c>
      <c r="EF40" s="15"/>
      <c r="EG40" s="15">
        <f>ED40+EF40</f>
        <v>571000</v>
      </c>
      <c r="EI40" s="15">
        <v>571000</v>
      </c>
      <c r="EK40" s="15">
        <v>571000</v>
      </c>
      <c r="EM40" s="15"/>
      <c r="EN40" s="15">
        <f>EK40+EM40</f>
        <v>571000</v>
      </c>
      <c r="EP40" s="15"/>
      <c r="EQ40" s="15">
        <f>EN40+EP40</f>
        <v>571000</v>
      </c>
      <c r="ES40" s="15"/>
      <c r="ET40" s="15">
        <f>EQ40+ES40</f>
        <v>571000</v>
      </c>
      <c r="EW40" s="15">
        <f>ET40+EV40</f>
        <v>571000</v>
      </c>
      <c r="EZ40" s="15">
        <f>EW40+EY40</f>
        <v>571000</v>
      </c>
      <c r="FC40" s="15">
        <f>EZ40+FB40</f>
        <v>571000</v>
      </c>
      <c r="FF40" s="15">
        <f>FC40+FE40</f>
        <v>571000</v>
      </c>
      <c r="FI40" s="15">
        <f>FF40+FH40</f>
        <v>571000</v>
      </c>
      <c r="FL40" s="15">
        <f>FI40+FK40</f>
        <v>571000</v>
      </c>
      <c r="FO40" s="15">
        <f>FL40+FN40</f>
        <v>571000</v>
      </c>
      <c r="FR40" s="15">
        <v>571000</v>
      </c>
      <c r="FT40" s="15">
        <v>571000</v>
      </c>
      <c r="FV40" s="227">
        <f>571000/4</f>
        <v>142750</v>
      </c>
      <c r="FW40" s="235">
        <f t="shared" si="109"/>
        <v>0.25</v>
      </c>
      <c r="FZ40" s="15">
        <f>FV40+FY40</f>
        <v>142750</v>
      </c>
      <c r="GB40" s="15"/>
      <c r="GC40" s="15">
        <f>FZ40+GB40</f>
        <v>142750</v>
      </c>
      <c r="GE40" s="15"/>
      <c r="GF40" s="15">
        <f>GC40+GE40</f>
        <v>142750</v>
      </c>
      <c r="GH40" s="15"/>
      <c r="GI40" s="15">
        <f>GF40+GH40</f>
        <v>142750</v>
      </c>
      <c r="GK40" s="15"/>
      <c r="GL40" s="15">
        <f>GI40+GK40</f>
        <v>142750</v>
      </c>
      <c r="GN40" s="15"/>
      <c r="GO40" s="15">
        <f>GL40+GN40</f>
        <v>142750</v>
      </c>
      <c r="GQ40" s="15"/>
      <c r="GR40" s="15">
        <f>GO40+GQ40</f>
        <v>142750</v>
      </c>
      <c r="GT40" s="15"/>
      <c r="GU40" s="15">
        <f>GR40+GT40</f>
        <v>142750</v>
      </c>
      <c r="GW40" s="15"/>
      <c r="GX40" s="15">
        <f>GU40+GW40</f>
        <v>142750</v>
      </c>
      <c r="GZ40" s="15"/>
      <c r="HA40" s="189">
        <f>GX40+GZ40</f>
        <v>142750</v>
      </c>
      <c r="HC40" s="189">
        <v>142750</v>
      </c>
      <c r="HE40" s="15">
        <v>571000</v>
      </c>
      <c r="HF40" s="235">
        <f>HE40/HC40</f>
        <v>4</v>
      </c>
    </row>
    <row r="41" spans="1:214" outlineLevel="1">
      <c r="A41" s="1" t="s">
        <v>128</v>
      </c>
      <c r="B41" s="4" t="s">
        <v>46</v>
      </c>
      <c r="C41" s="4" t="s">
        <v>131</v>
      </c>
      <c r="D41" s="43">
        <v>567000</v>
      </c>
      <c r="E41" s="34">
        <v>51.85</v>
      </c>
      <c r="F41" s="43">
        <v>567000</v>
      </c>
      <c r="G41" s="34">
        <v>51.85</v>
      </c>
      <c r="H41" s="46">
        <v>294000</v>
      </c>
      <c r="I41" s="36"/>
      <c r="J41" s="14"/>
      <c r="Y41" s="118"/>
      <c r="AF41" s="182"/>
      <c r="AH41" s="15"/>
      <c r="AX41" s="15"/>
      <c r="BD41" s="15"/>
      <c r="BG41" s="15"/>
      <c r="DE41" s="15"/>
      <c r="DH41" s="15"/>
      <c r="DK41" s="15"/>
      <c r="DN41" s="15"/>
      <c r="DQ41" s="15"/>
      <c r="DT41" s="15"/>
      <c r="DW41" s="15"/>
      <c r="DZ41" s="15"/>
      <c r="EC41" s="15"/>
      <c r="EF41" s="15"/>
      <c r="EK41" s="15"/>
      <c r="EM41" s="15"/>
      <c r="EP41" s="15"/>
      <c r="ES41" s="15"/>
      <c r="GB41" s="15"/>
      <c r="GE41" s="15"/>
      <c r="GH41" s="15"/>
      <c r="GK41" s="15"/>
      <c r="GN41" s="15"/>
      <c r="GQ41" s="15"/>
      <c r="GT41" s="15"/>
      <c r="GW41" s="15"/>
      <c r="GZ41" s="15"/>
    </row>
    <row r="42" spans="1:214" outlineLevel="1">
      <c r="A42" s="1" t="s">
        <v>132</v>
      </c>
      <c r="B42" s="4" t="s">
        <v>48</v>
      </c>
      <c r="C42" s="4" t="s">
        <v>133</v>
      </c>
      <c r="D42" s="43">
        <v>567000</v>
      </c>
      <c r="E42" s="34">
        <v>51.85</v>
      </c>
      <c r="F42" s="43">
        <v>567000</v>
      </c>
      <c r="G42" s="34">
        <v>51.85</v>
      </c>
      <c r="H42" s="46">
        <v>294000</v>
      </c>
      <c r="I42" s="36"/>
      <c r="J42" s="14"/>
      <c r="Y42" s="118"/>
      <c r="AF42" s="182"/>
      <c r="AH42" s="15"/>
      <c r="AX42" s="15"/>
      <c r="BD42" s="15"/>
      <c r="BG42" s="15"/>
      <c r="DE42" s="15"/>
      <c r="DH42" s="15"/>
      <c r="DK42" s="15"/>
      <c r="DN42" s="15"/>
      <c r="DQ42" s="15"/>
      <c r="DT42" s="15"/>
      <c r="DW42" s="15"/>
      <c r="DZ42" s="15"/>
      <c r="EC42" s="15"/>
      <c r="EF42" s="15"/>
      <c r="EK42" s="15"/>
      <c r="EM42" s="15"/>
      <c r="EP42" s="15"/>
      <c r="ES42" s="15"/>
      <c r="GB42" s="15"/>
      <c r="GE42" s="15"/>
      <c r="GH42" s="15"/>
      <c r="GK42" s="15"/>
      <c r="GN42" s="15"/>
      <c r="GQ42" s="15"/>
      <c r="GT42" s="15"/>
      <c r="GW42" s="15"/>
      <c r="GZ42" s="15"/>
    </row>
    <row r="43" spans="1:214" ht="15" customHeight="1" thickBot="1">
      <c r="A43" s="54" t="s">
        <v>132</v>
      </c>
      <c r="B43" s="55" t="s">
        <v>316</v>
      </c>
      <c r="C43" s="56" t="s">
        <v>133</v>
      </c>
      <c r="D43" s="57">
        <f>D38+D40</f>
        <v>567000</v>
      </c>
      <c r="E43" s="58"/>
      <c r="F43" s="57">
        <f>F38+F40</f>
        <v>567000</v>
      </c>
      <c r="G43" s="58"/>
      <c r="H43" s="57"/>
      <c r="I43" s="57">
        <f>I38+I40</f>
        <v>441000</v>
      </c>
      <c r="J43" s="138" t="e">
        <f>I43/$I$350</f>
        <v>#REF!</v>
      </c>
      <c r="K43" s="60"/>
      <c r="L43" s="122">
        <f>L38+L40</f>
        <v>441000</v>
      </c>
      <c r="M43" s="61">
        <f>L43/F43-1</f>
        <v>-0.22222222222222221</v>
      </c>
      <c r="N43" s="61">
        <f>L43/I43-1</f>
        <v>0</v>
      </c>
      <c r="O43" s="17">
        <f>L43/$L$350</f>
        <v>0.10232018751406381</v>
      </c>
      <c r="P43" s="17"/>
      <c r="Q43" s="122">
        <f>Q40</f>
        <v>571000</v>
      </c>
      <c r="R43" s="122">
        <f>R40</f>
        <v>290000</v>
      </c>
      <c r="S43" s="122">
        <f>S40</f>
        <v>571000</v>
      </c>
      <c r="T43" s="122">
        <f>T40</f>
        <v>0</v>
      </c>
      <c r="U43" s="155">
        <f>S43/Q43-1</f>
        <v>0</v>
      </c>
      <c r="Y43" s="122">
        <f>Y40</f>
        <v>571000</v>
      </c>
      <c r="AA43" s="122">
        <f>AA40</f>
        <v>571000</v>
      </c>
      <c r="AB43" s="122">
        <f>AB40</f>
        <v>0</v>
      </c>
      <c r="AE43" s="122">
        <f>AE40</f>
        <v>571000</v>
      </c>
      <c r="AF43" s="182"/>
      <c r="AH43" s="122">
        <f>AH40</f>
        <v>571000</v>
      </c>
      <c r="AI43" s="17">
        <f t="shared" ref="AI43" si="116">AH43/AE43</f>
        <v>1</v>
      </c>
      <c r="AK43" s="122">
        <f>AK40</f>
        <v>571000</v>
      </c>
      <c r="AL43" s="193">
        <f>AK43/L43</f>
        <v>1.2947845804988662</v>
      </c>
      <c r="AM43" s="17">
        <f>AK43/AE43</f>
        <v>1</v>
      </c>
      <c r="AN43" s="17">
        <f>AK43/AH43</f>
        <v>1</v>
      </c>
      <c r="AS43" s="122">
        <f>AS40</f>
        <v>571000</v>
      </c>
      <c r="AU43" s="122">
        <f>AU40</f>
        <v>0</v>
      </c>
      <c r="AV43" s="122">
        <f>AV40</f>
        <v>571000</v>
      </c>
      <c r="AX43" s="122">
        <f>AX40</f>
        <v>0</v>
      </c>
      <c r="AY43" s="122">
        <f>AY40</f>
        <v>571000</v>
      </c>
      <c r="BA43" s="122">
        <f>BA40</f>
        <v>0</v>
      </c>
      <c r="BB43" s="122">
        <f>BB40</f>
        <v>571000</v>
      </c>
      <c r="BD43" s="122">
        <f>BD40</f>
        <v>0</v>
      </c>
      <c r="BE43" s="122">
        <f>BE40</f>
        <v>571000</v>
      </c>
      <c r="BG43" s="122">
        <f>BG40</f>
        <v>0</v>
      </c>
      <c r="BH43" s="122">
        <f>BH40</f>
        <v>571000</v>
      </c>
      <c r="BJ43" s="122">
        <f>BJ40</f>
        <v>571000</v>
      </c>
      <c r="BK43" s="236">
        <f t="shared" ref="BK43" si="117">BJ43/BH43</f>
        <v>1</v>
      </c>
      <c r="BM43" s="122">
        <f>BM40</f>
        <v>571000</v>
      </c>
      <c r="BN43" s="236">
        <f t="shared" ref="BN43" si="118">BM43/BJ43</f>
        <v>1</v>
      </c>
      <c r="BO43" s="236">
        <f t="shared" ref="BO43" si="119">BM43/BH43</f>
        <v>1</v>
      </c>
      <c r="BQ43" s="122">
        <f>BQ40</f>
        <v>0</v>
      </c>
      <c r="BR43" s="122">
        <f>BR40</f>
        <v>571000</v>
      </c>
      <c r="BT43" s="122">
        <f>BT40</f>
        <v>0</v>
      </c>
      <c r="BU43" s="122">
        <f>BU40</f>
        <v>571000</v>
      </c>
      <c r="BW43" s="122">
        <f>BW40</f>
        <v>0</v>
      </c>
      <c r="BX43" s="122">
        <f>BX40</f>
        <v>571000</v>
      </c>
      <c r="BZ43" s="122">
        <f>BZ40</f>
        <v>0</v>
      </c>
      <c r="CA43" s="122">
        <f>CA40</f>
        <v>571000</v>
      </c>
      <c r="CC43" s="122">
        <f>CC40</f>
        <v>0</v>
      </c>
      <c r="CD43" s="122">
        <f>CD40</f>
        <v>571000</v>
      </c>
      <c r="CF43" s="122">
        <f>CF40</f>
        <v>0</v>
      </c>
      <c r="CG43" s="122">
        <f>CG40</f>
        <v>571000</v>
      </c>
      <c r="CI43" s="122">
        <f>CI40</f>
        <v>0</v>
      </c>
      <c r="CJ43" s="122">
        <f>CJ40</f>
        <v>571000</v>
      </c>
      <c r="CL43" s="319">
        <f>CL40</f>
        <v>0</v>
      </c>
      <c r="CM43" s="122">
        <f>CM40</f>
        <v>571000</v>
      </c>
      <c r="CO43" s="122">
        <f>CO40</f>
        <v>0</v>
      </c>
      <c r="CP43" s="122">
        <f>CP40</f>
        <v>571000</v>
      </c>
      <c r="CR43" s="122">
        <f>CR40</f>
        <v>0</v>
      </c>
      <c r="CS43" s="122">
        <f>CS40</f>
        <v>571000</v>
      </c>
      <c r="CU43" s="122">
        <f>CU40</f>
        <v>0</v>
      </c>
      <c r="CV43" s="122">
        <f>CV40</f>
        <v>571000</v>
      </c>
      <c r="CX43" s="122">
        <f>CX40</f>
        <v>0</v>
      </c>
      <c r="CY43" s="122">
        <f>CY40</f>
        <v>571000</v>
      </c>
      <c r="DA43" s="122">
        <f>DA40</f>
        <v>571000</v>
      </c>
      <c r="DC43" s="122">
        <f>DC40</f>
        <v>571000</v>
      </c>
      <c r="DE43" s="122">
        <f>DE40</f>
        <v>0</v>
      </c>
      <c r="DF43" s="122">
        <f>DF40</f>
        <v>571000</v>
      </c>
      <c r="DH43" s="122">
        <f>DH40</f>
        <v>0</v>
      </c>
      <c r="DI43" s="122">
        <f>DI40</f>
        <v>571000</v>
      </c>
      <c r="DK43" s="122">
        <f>DK40</f>
        <v>0</v>
      </c>
      <c r="DL43" s="122">
        <f>DL40</f>
        <v>571000</v>
      </c>
      <c r="DN43" s="122">
        <f>DN40</f>
        <v>0</v>
      </c>
      <c r="DO43" s="122">
        <f>DO40</f>
        <v>571000</v>
      </c>
      <c r="DQ43" s="122">
        <f>DQ40</f>
        <v>0</v>
      </c>
      <c r="DR43" s="122">
        <f>DR40</f>
        <v>571000</v>
      </c>
      <c r="DT43" s="122">
        <f>DT40</f>
        <v>0</v>
      </c>
      <c r="DU43" s="122">
        <f>DU40</f>
        <v>571000</v>
      </c>
      <c r="DW43" s="122">
        <f>DW40</f>
        <v>0</v>
      </c>
      <c r="DX43" s="122">
        <f>DX40</f>
        <v>571000</v>
      </c>
      <c r="DZ43" s="122">
        <f>DZ40</f>
        <v>0</v>
      </c>
      <c r="EA43" s="122">
        <f>EA40</f>
        <v>571000</v>
      </c>
      <c r="EC43" s="122">
        <f>EC40</f>
        <v>0</v>
      </c>
      <c r="ED43" s="122">
        <f>ED40</f>
        <v>571000</v>
      </c>
      <c r="EF43" s="122">
        <f>EF40</f>
        <v>0</v>
      </c>
      <c r="EG43" s="122">
        <f>EG40</f>
        <v>571000</v>
      </c>
      <c r="EI43" s="122">
        <f>EI40</f>
        <v>571000</v>
      </c>
      <c r="EK43" s="122">
        <f>EK40</f>
        <v>571000</v>
      </c>
      <c r="EL43" s="377">
        <f>EK43/EI43-1</f>
        <v>0</v>
      </c>
      <c r="EM43" s="122">
        <f>EM40</f>
        <v>0</v>
      </c>
      <c r="EN43" s="122">
        <f>EN40</f>
        <v>571000</v>
      </c>
      <c r="EP43" s="122">
        <f>EP40</f>
        <v>0</v>
      </c>
      <c r="EQ43" s="122">
        <f>EQ40</f>
        <v>571000</v>
      </c>
      <c r="ES43" s="122">
        <f>ES40</f>
        <v>0</v>
      </c>
      <c r="ET43" s="122">
        <f>ET40</f>
        <v>571000</v>
      </c>
      <c r="EV43" s="122">
        <f>EV40</f>
        <v>0</v>
      </c>
      <c r="EW43" s="122">
        <f>EW40</f>
        <v>571000</v>
      </c>
      <c r="EY43" s="122">
        <f>EY40</f>
        <v>0</v>
      </c>
      <c r="EZ43" s="122">
        <f>EZ40</f>
        <v>571000</v>
      </c>
      <c r="FB43" s="122">
        <f>FB40+FB39+FB38</f>
        <v>16000</v>
      </c>
      <c r="FC43" s="122">
        <f>FC40+FC39+FC38</f>
        <v>587000</v>
      </c>
      <c r="FE43" s="122">
        <f>FE40+FE39+FE38</f>
        <v>0</v>
      </c>
      <c r="FF43" s="122">
        <f>FF40+FF39+FF38</f>
        <v>587000</v>
      </c>
      <c r="FH43" s="122">
        <f>FH40+FH39+FH38</f>
        <v>0</v>
      </c>
      <c r="FI43" s="122">
        <f>FI40+FI39+FI38</f>
        <v>587000</v>
      </c>
      <c r="FK43" s="122">
        <f>FK40+FK39+FK38</f>
        <v>5000</v>
      </c>
      <c r="FL43" s="122">
        <f>FL40+FL39+FL38</f>
        <v>592000</v>
      </c>
      <c r="FN43" s="122">
        <f>FN40+FN39+FN38</f>
        <v>0</v>
      </c>
      <c r="FO43" s="122">
        <f>FO40+FO39+FO38</f>
        <v>592000</v>
      </c>
      <c r="FQ43" s="122">
        <v>0</v>
      </c>
      <c r="FR43" s="122">
        <v>592000</v>
      </c>
      <c r="FT43" s="122">
        <f>FT40+FT39+FT38</f>
        <v>585857.31999999995</v>
      </c>
      <c r="FV43" s="122">
        <f>FV40+FV39+FV38</f>
        <v>167750</v>
      </c>
      <c r="FW43" s="235">
        <f t="shared" ref="FW43" si="120">FV43/FT43</f>
        <v>0.28633251522742775</v>
      </c>
      <c r="FY43" s="122">
        <f t="shared" ref="FY43:FZ43" si="121">FY40+FY39+FY38</f>
        <v>-1</v>
      </c>
      <c r="FZ43" s="122">
        <f t="shared" si="121"/>
        <v>167749</v>
      </c>
      <c r="GB43" s="122">
        <f t="shared" ref="GB43:GC43" si="122">GB40+GB39+GB38</f>
        <v>0</v>
      </c>
      <c r="GC43" s="122">
        <f t="shared" si="122"/>
        <v>167749</v>
      </c>
      <c r="GE43" s="122">
        <f t="shared" ref="GE43:GF43" si="123">GE40+GE39+GE38</f>
        <v>0</v>
      </c>
      <c r="GF43" s="122">
        <f t="shared" si="123"/>
        <v>167749</v>
      </c>
      <c r="GH43" s="122">
        <f t="shared" ref="GH43:GI43" si="124">GH40+GH39+GH38</f>
        <v>0</v>
      </c>
      <c r="GI43" s="122">
        <f t="shared" si="124"/>
        <v>167749</v>
      </c>
      <c r="GK43" s="122">
        <f t="shared" ref="GK43:GL43" si="125">GK40+GK39+GK38</f>
        <v>0</v>
      </c>
      <c r="GL43" s="122">
        <f t="shared" si="125"/>
        <v>167749</v>
      </c>
      <c r="GN43" s="122">
        <f t="shared" ref="GN43:GO43" si="126">GN40+GN39+GN38</f>
        <v>0</v>
      </c>
      <c r="GO43" s="122">
        <f t="shared" si="126"/>
        <v>167749</v>
      </c>
      <c r="GQ43" s="122">
        <f t="shared" ref="GQ43:GR43" si="127">GQ40+GQ39+GQ38</f>
        <v>0</v>
      </c>
      <c r="GR43" s="122">
        <f t="shared" si="127"/>
        <v>167749</v>
      </c>
      <c r="GT43" s="122">
        <f t="shared" ref="GT43:GU43" si="128">GT40+GT39+GT38</f>
        <v>0</v>
      </c>
      <c r="GU43" s="122">
        <f t="shared" si="128"/>
        <v>167749</v>
      </c>
      <c r="GW43" s="122">
        <f t="shared" ref="GW43:GX43" si="129">GW40+GW39+GW38</f>
        <v>-9314</v>
      </c>
      <c r="GX43" s="122">
        <f t="shared" si="129"/>
        <v>158435</v>
      </c>
      <c r="GZ43" s="122">
        <f t="shared" ref="GZ43:HC43" si="130">GZ40+GZ39+GZ38</f>
        <v>0</v>
      </c>
      <c r="HA43" s="430">
        <f t="shared" si="130"/>
        <v>158435</v>
      </c>
      <c r="HC43" s="430">
        <f t="shared" si="130"/>
        <v>157437</v>
      </c>
      <c r="HE43" s="122">
        <f>HE40+HE39+HE38</f>
        <v>586000</v>
      </c>
      <c r="HF43" s="235">
        <f>HE43/HC43</f>
        <v>3.7221237701429777</v>
      </c>
    </row>
    <row r="44" spans="1:214" ht="18.75" customHeight="1" outlineLevel="1" thickTop="1">
      <c r="A44" s="13" t="s">
        <v>61</v>
      </c>
      <c r="B44" s="1" t="s">
        <v>183</v>
      </c>
      <c r="C44" s="4" t="s">
        <v>184</v>
      </c>
      <c r="D44" s="36"/>
      <c r="E44" s="51"/>
      <c r="F44" s="36"/>
      <c r="G44" s="51"/>
      <c r="H44" s="36"/>
      <c r="I44" s="36"/>
      <c r="J44" s="193"/>
      <c r="L44" s="121"/>
      <c r="M44" s="176"/>
      <c r="N44" s="176"/>
      <c r="O44" s="224"/>
      <c r="P44" s="224"/>
      <c r="Q44" s="121"/>
      <c r="R44" s="121"/>
      <c r="S44" s="121"/>
      <c r="T44" s="121"/>
      <c r="U44" s="223"/>
      <c r="V44"/>
      <c r="Y44" s="121"/>
      <c r="AA44" s="121"/>
      <c r="AB44" s="121"/>
      <c r="AE44" s="121"/>
      <c r="AF44" s="187"/>
      <c r="AH44" s="121"/>
      <c r="AI44" s="224"/>
      <c r="AK44" s="121"/>
      <c r="AL44" s="193"/>
      <c r="AM44" s="224"/>
      <c r="AN44" s="224"/>
      <c r="AP44"/>
      <c r="AS44" s="121"/>
      <c r="AU44" s="121"/>
      <c r="AV44" s="121"/>
      <c r="AX44" s="121"/>
      <c r="AY44" s="121"/>
      <c r="BA44" s="121"/>
      <c r="BB44" s="121"/>
      <c r="BD44" s="121"/>
      <c r="BE44" s="121"/>
      <c r="BG44" s="121"/>
      <c r="BH44" s="121"/>
      <c r="BJ44" s="121"/>
      <c r="BK44" s="291"/>
      <c r="BM44" s="121"/>
      <c r="BN44" s="291"/>
      <c r="BO44" s="291"/>
      <c r="BQ44" s="121"/>
      <c r="BR44" s="121"/>
      <c r="BT44" s="121"/>
      <c r="BU44" s="121"/>
      <c r="BW44" s="121"/>
      <c r="BX44" s="121"/>
      <c r="BZ44" s="121"/>
      <c r="CA44" s="121"/>
      <c r="CC44" s="121"/>
      <c r="CD44" s="121"/>
      <c r="CF44" s="121"/>
      <c r="CG44" s="121"/>
      <c r="CI44" s="121"/>
      <c r="CJ44" s="121"/>
      <c r="CL44" s="121"/>
      <c r="CM44" s="121"/>
      <c r="CO44" s="121"/>
      <c r="CP44" s="121"/>
      <c r="CR44" s="121"/>
      <c r="CS44" s="121"/>
      <c r="CU44" s="121"/>
      <c r="CV44" s="121"/>
      <c r="CX44" s="121"/>
      <c r="CY44" s="121"/>
      <c r="DA44" s="121"/>
      <c r="DC44" s="121"/>
      <c r="DE44" s="121"/>
      <c r="DF44" s="121"/>
      <c r="DH44" s="121"/>
      <c r="DI44" s="121"/>
      <c r="DK44" s="121"/>
      <c r="DL44" s="121"/>
      <c r="DN44" s="121"/>
      <c r="DO44" s="121"/>
      <c r="DQ44" s="121"/>
      <c r="DR44" s="121"/>
      <c r="DT44" s="121"/>
      <c r="DU44" s="121"/>
      <c r="DW44" s="121"/>
      <c r="DX44" s="121"/>
      <c r="DZ44" s="121"/>
      <c r="EA44" s="121"/>
      <c r="EC44" s="121"/>
      <c r="ED44" s="121"/>
      <c r="EF44" s="121"/>
      <c r="EG44" s="121"/>
      <c r="EI44" s="121"/>
      <c r="EK44" s="121"/>
      <c r="EL44" s="403"/>
      <c r="EM44" s="121"/>
      <c r="EN44" s="121"/>
      <c r="EP44" s="121"/>
      <c r="EQ44" s="121"/>
      <c r="ES44" s="121"/>
      <c r="ET44" s="121"/>
      <c r="EV44" s="121"/>
      <c r="EW44" s="121"/>
      <c r="EY44" s="121"/>
      <c r="EZ44" s="121"/>
      <c r="FB44" s="121"/>
      <c r="FC44" s="121"/>
      <c r="FE44" s="121"/>
      <c r="FF44" s="121"/>
      <c r="FH44" s="121"/>
      <c r="FI44" s="121"/>
      <c r="FK44" s="121"/>
      <c r="FL44" s="121"/>
      <c r="FN44" s="121"/>
      <c r="FO44" s="121"/>
      <c r="FQ44" s="121"/>
      <c r="FR44" s="121"/>
      <c r="FT44" s="121"/>
      <c r="FV44" s="121"/>
      <c r="FW44" s="445"/>
      <c r="FY44" s="121"/>
      <c r="FZ44" s="121"/>
      <c r="GB44" s="121"/>
      <c r="GC44" s="121"/>
      <c r="GE44" s="121"/>
      <c r="GF44" s="121"/>
      <c r="GH44" s="121"/>
      <c r="GI44" s="121"/>
      <c r="GK44" s="121"/>
      <c r="GL44" s="121"/>
      <c r="GN44" s="121"/>
      <c r="GO44" s="121"/>
      <c r="GQ44" s="121"/>
      <c r="GR44" s="121"/>
      <c r="GT44" s="121"/>
      <c r="GU44" s="121"/>
      <c r="GW44" s="121"/>
      <c r="GX44" s="121"/>
      <c r="GZ44" s="121"/>
      <c r="HA44" s="14"/>
      <c r="HE44" s="36">
        <f>10*'[1]MODEL 2026'!$D$4+9*('[1]MODEL 2026'!$D$5+'[1]MODEL 2026'!$D$6)</f>
        <v>1044000</v>
      </c>
      <c r="HF44" s="445"/>
    </row>
    <row r="45" spans="1:214" outlineLevel="1">
      <c r="A45" s="1" t="s">
        <v>61</v>
      </c>
      <c r="B45" s="1" t="s">
        <v>142</v>
      </c>
      <c r="C45" s="4" t="s">
        <v>143</v>
      </c>
      <c r="GQ45" s="227">
        <v>15000</v>
      </c>
      <c r="GR45" s="15">
        <f>GO45+GQ45</f>
        <v>15000</v>
      </c>
      <c r="GT45" s="227">
        <v>-15000</v>
      </c>
      <c r="GU45" s="15">
        <f>GR45+GT45</f>
        <v>0</v>
      </c>
      <c r="GW45" s="227">
        <v>3000</v>
      </c>
      <c r="GX45" s="15">
        <f t="shared" ref="GX45:GX62" si="131">GU45+GW45</f>
        <v>3000</v>
      </c>
      <c r="GZ45" s="15"/>
      <c r="HA45" s="189">
        <f t="shared" ref="HA45:HA62" si="132">GX45+GZ45</f>
        <v>3000</v>
      </c>
      <c r="HC45" s="189">
        <v>3000</v>
      </c>
      <c r="HE45" s="15">
        <f>9*SUM('[1]MODEL 2026'!$D$7:$D$10)</f>
        <v>135000</v>
      </c>
    </row>
    <row r="46" spans="1:214" outlineLevel="1">
      <c r="A46" s="1" t="s">
        <v>61</v>
      </c>
      <c r="B46" s="1" t="s">
        <v>185</v>
      </c>
      <c r="C46" s="4" t="s">
        <v>186</v>
      </c>
      <c r="GQ46" s="227"/>
      <c r="GR46" s="15"/>
      <c r="GT46" s="227"/>
      <c r="GU46" s="15"/>
      <c r="GW46" s="227"/>
      <c r="GX46" s="15"/>
      <c r="GZ46" s="15"/>
      <c r="HE46" s="15">
        <f>(10*('[1]MODEL 2026'!$D$4)+9*('[1]MODEL 2026'!$D$5+'[1]MODEL 2026'!$D$6))*0.248</f>
        <v>258912</v>
      </c>
    </row>
    <row r="47" spans="1:214" outlineLevel="1">
      <c r="A47" s="1" t="s">
        <v>61</v>
      </c>
      <c r="B47" s="1" t="s">
        <v>187</v>
      </c>
      <c r="C47" s="4" t="s">
        <v>188</v>
      </c>
      <c r="GQ47" s="227"/>
      <c r="GR47" s="15"/>
      <c r="GT47" s="227"/>
      <c r="GU47" s="15"/>
      <c r="GW47" s="227"/>
      <c r="GX47" s="15"/>
      <c r="GZ47" s="15"/>
      <c r="HE47" s="15">
        <f>(10*('[1]MODEL 2026'!$D$4)+9*('[1]MODEL 2026'!$D$5+'[1]MODEL 2026'!$D$6))*0.09</f>
        <v>93960</v>
      </c>
    </row>
    <row r="48" spans="1:214" outlineLevel="1">
      <c r="A48" s="1" t="s">
        <v>61</v>
      </c>
      <c r="B48" s="1" t="s">
        <v>134</v>
      </c>
      <c r="C48" s="4" t="s">
        <v>135</v>
      </c>
      <c r="D48" s="43">
        <v>60000</v>
      </c>
      <c r="E48" s="34">
        <v>16</v>
      </c>
      <c r="F48" s="43">
        <v>9600</v>
      </c>
      <c r="G48" s="34">
        <v>100</v>
      </c>
      <c r="H48" s="46">
        <v>9600</v>
      </c>
      <c r="I48" s="36">
        <v>9600</v>
      </c>
      <c r="J48" s="14"/>
      <c r="K48" t="s">
        <v>332</v>
      </c>
      <c r="L48" s="118">
        <v>10000</v>
      </c>
      <c r="M48" s="17">
        <f>L48/F48-1</f>
        <v>4.1666666666666741E-2</v>
      </c>
      <c r="N48" s="17">
        <f>L48/I48-1</f>
        <v>4.1666666666666741E-2</v>
      </c>
      <c r="Q48" s="118">
        <v>10000</v>
      </c>
      <c r="R48" s="15">
        <v>0</v>
      </c>
      <c r="S48" s="118">
        <v>10000</v>
      </c>
      <c r="T48" s="157">
        <f>S48-Q48</f>
        <v>0</v>
      </c>
      <c r="U48" s="16">
        <f>S48/Q48-1</f>
        <v>0</v>
      </c>
      <c r="Y48" s="118">
        <v>10000</v>
      </c>
      <c r="AA48" s="118">
        <v>12000</v>
      </c>
      <c r="AB48" s="185">
        <f>AA48-Y48</f>
        <v>2000</v>
      </c>
      <c r="AC48" s="187">
        <f t="shared" ref="AC48" si="133">AA48-Y48</f>
        <v>2000</v>
      </c>
      <c r="AD48" s="187"/>
      <c r="AE48" s="118">
        <v>12000</v>
      </c>
      <c r="AF48" s="182"/>
      <c r="AH48" s="15">
        <v>0</v>
      </c>
      <c r="AI48" s="17">
        <f>AH48/AE48</f>
        <v>0</v>
      </c>
      <c r="AK48" s="118">
        <v>12000</v>
      </c>
      <c r="AS48" s="15">
        <f t="shared" ref="AS48" si="134">AR48+AK48</f>
        <v>12000</v>
      </c>
      <c r="AV48" s="15">
        <f>AS48+AU48</f>
        <v>12000</v>
      </c>
      <c r="AX48" s="15"/>
      <c r="AY48" s="15">
        <f>AV48+AX48</f>
        <v>12000</v>
      </c>
      <c r="BB48" s="15">
        <f>AY48+BA48</f>
        <v>12000</v>
      </c>
      <c r="BD48" s="15">
        <v>-6000</v>
      </c>
      <c r="BE48" s="15">
        <f>BB48+BD48</f>
        <v>6000</v>
      </c>
      <c r="BG48" s="15"/>
      <c r="BH48" s="15">
        <f>BE48+BG48</f>
        <v>6000</v>
      </c>
      <c r="BJ48" s="15">
        <v>0</v>
      </c>
      <c r="BK48" s="235">
        <f t="shared" ref="BK48" si="135">BJ48/BH48</f>
        <v>0</v>
      </c>
      <c r="BM48" s="15">
        <v>0</v>
      </c>
      <c r="BN48" s="235" t="e">
        <f t="shared" ref="BN48" si="136">BM48/BJ48</f>
        <v>#DIV/0!</v>
      </c>
      <c r="BO48" s="235">
        <f t="shared" ref="BO48" si="137">BM48/BH48</f>
        <v>0</v>
      </c>
      <c r="BQ48" s="15"/>
      <c r="BR48" s="15">
        <f>BM48+BQ48</f>
        <v>0</v>
      </c>
      <c r="BT48" s="15"/>
      <c r="BU48" s="15">
        <f>BR48+BT48</f>
        <v>0</v>
      </c>
      <c r="BW48" s="15"/>
      <c r="BX48" s="15">
        <f>BU48+BW48</f>
        <v>0</v>
      </c>
      <c r="BZ48" s="15"/>
      <c r="CA48" s="15">
        <f>BX48+BZ48</f>
        <v>0</v>
      </c>
      <c r="CC48" s="15"/>
      <c r="CD48" s="15">
        <f>CA48+CC48</f>
        <v>0</v>
      </c>
      <c r="CF48" s="15"/>
      <c r="CG48" s="15">
        <f>CD48+CF48</f>
        <v>0</v>
      </c>
      <c r="CI48" s="15"/>
      <c r="CJ48" s="15">
        <f>CG48+CI48</f>
        <v>0</v>
      </c>
      <c r="CM48" s="15">
        <f>CJ48+CL48</f>
        <v>0</v>
      </c>
      <c r="CP48" s="15">
        <f>CM48+CO48</f>
        <v>0</v>
      </c>
      <c r="CS48" s="15">
        <f>CP48+CR48</f>
        <v>0</v>
      </c>
      <c r="CV48" s="15">
        <f>CS48+CU48</f>
        <v>0</v>
      </c>
      <c r="CY48" s="15">
        <f>CV48+CX48</f>
        <v>0</v>
      </c>
      <c r="DE48" s="15"/>
      <c r="DF48" s="15">
        <f>DC48+DE48</f>
        <v>0</v>
      </c>
      <c r="DH48" s="15"/>
      <c r="DI48" s="15">
        <f>DF48+DH48</f>
        <v>0</v>
      </c>
      <c r="DK48" s="15"/>
      <c r="DL48" s="15">
        <f>DI48+DK48</f>
        <v>0</v>
      </c>
      <c r="DN48" s="15"/>
      <c r="DO48" s="15">
        <f>DL48+DN48</f>
        <v>0</v>
      </c>
      <c r="DQ48" s="15"/>
      <c r="DR48" s="15">
        <f>DO48+DQ48</f>
        <v>0</v>
      </c>
      <c r="DT48" s="15"/>
      <c r="DU48" s="15">
        <f>DR48+DT48</f>
        <v>0</v>
      </c>
      <c r="DW48" s="15"/>
      <c r="DX48" s="15">
        <f>DU48+DW48</f>
        <v>0</v>
      </c>
      <c r="DZ48" s="15"/>
      <c r="EA48" s="15">
        <f>DX48+DZ48</f>
        <v>0</v>
      </c>
      <c r="EC48" s="15"/>
      <c r="ED48" s="15">
        <f>EA48+EC48</f>
        <v>0</v>
      </c>
      <c r="EF48" s="15"/>
      <c r="EG48" s="15">
        <f>ED48+EF48</f>
        <v>0</v>
      </c>
      <c r="EK48" s="15"/>
      <c r="EM48" s="15"/>
      <c r="EN48" s="15">
        <f>EK48+EM48</f>
        <v>0</v>
      </c>
      <c r="EP48" s="15"/>
      <c r="EQ48" s="15">
        <f>EN48+EP48</f>
        <v>0</v>
      </c>
      <c r="ES48" s="15"/>
      <c r="ET48" s="15">
        <f>EQ48+ES48</f>
        <v>0</v>
      </c>
      <c r="EW48" s="15">
        <f>ET48+EV48</f>
        <v>0</v>
      </c>
      <c r="EZ48" s="15">
        <f>EW48+EY48</f>
        <v>0</v>
      </c>
      <c r="FC48" s="15">
        <f>EZ48+FB48</f>
        <v>0</v>
      </c>
      <c r="FF48" s="15">
        <f>FC48+FE48</f>
        <v>0</v>
      </c>
      <c r="FI48" s="15">
        <f>FF48+FH48</f>
        <v>0</v>
      </c>
      <c r="FL48" s="15">
        <f>FI48+FK48</f>
        <v>0</v>
      </c>
      <c r="FO48" s="15">
        <f>FL48+FN48</f>
        <v>0</v>
      </c>
      <c r="FR48" s="15">
        <v>0</v>
      </c>
      <c r="FZ48" s="15">
        <f>FV48+FY48</f>
        <v>0</v>
      </c>
      <c r="GB48" s="15"/>
      <c r="GC48" s="15">
        <f>FZ48+GB48</f>
        <v>0</v>
      </c>
      <c r="GE48" s="15"/>
      <c r="GF48" s="15">
        <f>GC48+GE48</f>
        <v>0</v>
      </c>
      <c r="GH48" s="15"/>
      <c r="GI48" s="15">
        <f>GF48+GH48</f>
        <v>0</v>
      </c>
      <c r="GK48" s="15"/>
      <c r="GL48" s="15">
        <f>GI48+GK48</f>
        <v>0</v>
      </c>
      <c r="GN48" s="15"/>
      <c r="GO48" s="15">
        <f>GL48+GN48</f>
        <v>0</v>
      </c>
      <c r="GQ48" s="15"/>
      <c r="GR48" s="15">
        <f>GO48+GQ48</f>
        <v>0</v>
      </c>
      <c r="GT48" s="15"/>
      <c r="GU48" s="15">
        <f>GR48+GT48</f>
        <v>0</v>
      </c>
      <c r="GW48" s="15"/>
      <c r="GX48" s="15">
        <f t="shared" si="131"/>
        <v>0</v>
      </c>
      <c r="GZ48" s="15"/>
      <c r="HA48" s="189">
        <f t="shared" si="132"/>
        <v>0</v>
      </c>
    </row>
    <row r="49" spans="1:214" outlineLevel="1">
      <c r="A49" s="1" t="s">
        <v>61</v>
      </c>
      <c r="B49" s="1" t="s">
        <v>438</v>
      </c>
      <c r="C49" s="4" t="s">
        <v>439</v>
      </c>
      <c r="D49" s="43"/>
      <c r="E49" s="34"/>
      <c r="F49" s="43"/>
      <c r="G49" s="34"/>
      <c r="H49" s="46"/>
      <c r="I49" s="36"/>
      <c r="J49" s="14"/>
      <c r="M49" s="17"/>
      <c r="N49" s="17"/>
      <c r="T49" s="157"/>
      <c r="U49" s="16"/>
      <c r="Y49" s="118"/>
      <c r="AB49" s="185"/>
      <c r="AC49" s="187"/>
      <c r="AD49" s="187"/>
      <c r="AF49" s="182"/>
      <c r="AH49" s="15"/>
      <c r="AI49" s="17"/>
      <c r="AS49" s="15"/>
      <c r="AV49" s="15"/>
      <c r="AX49" s="15"/>
      <c r="AY49" s="15"/>
      <c r="BB49" s="15"/>
      <c r="BD49" s="15"/>
      <c r="BE49" s="15"/>
      <c r="BG49" s="15"/>
      <c r="BH49" s="15"/>
      <c r="BK49" s="235"/>
      <c r="BM49" s="15"/>
      <c r="BN49" s="235"/>
      <c r="BO49" s="235"/>
      <c r="BQ49" s="15"/>
      <c r="BR49" s="15"/>
      <c r="BT49" s="15"/>
      <c r="BU49" s="15"/>
      <c r="BW49" s="15"/>
      <c r="BX49" s="15"/>
      <c r="BZ49" s="15"/>
      <c r="CA49" s="15"/>
      <c r="CC49" s="15"/>
      <c r="CD49" s="15"/>
      <c r="CF49" s="15"/>
      <c r="CG49" s="15"/>
      <c r="CI49" s="15"/>
      <c r="CJ49" s="15"/>
      <c r="CM49" s="15"/>
      <c r="CP49" s="15"/>
      <c r="CS49" s="15"/>
      <c r="CV49" s="15"/>
      <c r="CY49" s="15"/>
      <c r="DE49" s="15"/>
      <c r="DF49" s="15"/>
      <c r="DH49" s="15"/>
      <c r="DI49" s="15"/>
      <c r="DK49" s="15"/>
      <c r="DL49" s="15"/>
      <c r="DN49" s="15"/>
      <c r="DO49" s="15"/>
      <c r="DQ49" s="15"/>
      <c r="DR49" s="15"/>
      <c r="DT49" s="15"/>
      <c r="DU49" s="15"/>
      <c r="DW49" s="15"/>
      <c r="DX49" s="15"/>
      <c r="DZ49" s="15"/>
      <c r="EA49" s="15"/>
      <c r="EC49" s="15"/>
      <c r="ED49" s="15"/>
      <c r="EF49" s="15"/>
      <c r="EG49" s="15"/>
      <c r="EK49" s="15"/>
      <c r="EM49" s="15"/>
      <c r="EN49" s="15"/>
      <c r="EP49" s="15"/>
      <c r="EQ49" s="15"/>
      <c r="ES49" s="15"/>
      <c r="ET49" s="15"/>
      <c r="EW49" s="15"/>
      <c r="EZ49" s="15"/>
      <c r="FC49" s="15"/>
      <c r="FF49" s="15"/>
      <c r="FI49" s="15"/>
      <c r="FL49" s="15"/>
      <c r="FO49" s="15"/>
      <c r="FR49" s="15"/>
      <c r="FZ49" s="15"/>
      <c r="GB49" s="15"/>
      <c r="GC49" s="15"/>
      <c r="GE49" s="15"/>
      <c r="GF49" s="15"/>
      <c r="GH49" s="15"/>
      <c r="GI49" s="15"/>
      <c r="GK49" s="15"/>
      <c r="GL49" s="15"/>
      <c r="GN49" s="15"/>
      <c r="GO49" s="15"/>
      <c r="GQ49" s="15"/>
      <c r="GR49" s="15"/>
      <c r="GT49" s="15"/>
      <c r="GU49" s="15"/>
      <c r="GW49" s="15"/>
      <c r="GX49" s="15"/>
      <c r="GZ49" s="15"/>
    </row>
    <row r="50" spans="1:214" outlineLevel="1">
      <c r="A50" s="1" t="s">
        <v>61</v>
      </c>
      <c r="B50" s="1" t="s">
        <v>144</v>
      </c>
      <c r="C50" s="4" t="s">
        <v>145</v>
      </c>
      <c r="D50" s="43"/>
      <c r="E50" s="34"/>
      <c r="F50" s="43"/>
      <c r="G50" s="34"/>
      <c r="H50" s="46"/>
      <c r="I50" s="36"/>
      <c r="J50" s="14"/>
      <c r="M50" s="17"/>
      <c r="N50" s="17"/>
      <c r="T50" s="157"/>
      <c r="U50" s="16"/>
      <c r="Y50" s="118"/>
      <c r="AB50" s="185"/>
      <c r="AC50" s="187"/>
      <c r="AD50" s="187"/>
      <c r="AF50" s="182"/>
      <c r="AH50" s="15"/>
      <c r="AI50" s="17"/>
      <c r="AS50" s="15"/>
      <c r="AV50" s="15"/>
      <c r="AX50" s="15"/>
      <c r="AY50" s="15"/>
      <c r="BB50" s="15"/>
      <c r="BD50" s="15"/>
      <c r="BE50" s="15"/>
      <c r="BG50" s="15"/>
      <c r="BH50" s="15"/>
      <c r="BK50" s="235"/>
      <c r="BM50" s="15"/>
      <c r="BN50" s="235"/>
      <c r="BO50" s="235"/>
      <c r="BQ50" s="15"/>
      <c r="BR50" s="15"/>
      <c r="BT50" s="15"/>
      <c r="BU50" s="15"/>
      <c r="BW50" s="15"/>
      <c r="BX50" s="15"/>
      <c r="BZ50" s="15"/>
      <c r="CA50" s="15"/>
      <c r="CC50" s="15"/>
      <c r="CD50" s="15"/>
      <c r="CF50" s="15"/>
      <c r="CG50" s="15"/>
      <c r="CI50" s="15"/>
      <c r="CJ50" s="15"/>
      <c r="CM50" s="15"/>
      <c r="CP50" s="15"/>
      <c r="CS50" s="15"/>
      <c r="CV50" s="15"/>
      <c r="CY50" s="15"/>
      <c r="DE50" s="15"/>
      <c r="DF50" s="15"/>
      <c r="DH50" s="15"/>
      <c r="DI50" s="15"/>
      <c r="DK50" s="15"/>
      <c r="DL50" s="15"/>
      <c r="DN50" s="15"/>
      <c r="DO50" s="15"/>
      <c r="DQ50" s="15"/>
      <c r="DR50" s="15"/>
      <c r="DT50" s="15"/>
      <c r="DU50" s="15"/>
      <c r="DW50" s="15"/>
      <c r="DX50" s="15"/>
      <c r="DZ50" s="15"/>
      <c r="EA50" s="15"/>
      <c r="EC50" s="15"/>
      <c r="ED50" s="15"/>
      <c r="EF50" s="15"/>
      <c r="EG50" s="15"/>
      <c r="EK50" s="15"/>
      <c r="EM50" s="15"/>
      <c r="EN50" s="15"/>
      <c r="EP50" s="15"/>
      <c r="EQ50" s="15"/>
      <c r="ES50" s="15"/>
      <c r="ET50" s="15"/>
      <c r="EW50" s="15"/>
      <c r="EZ50" s="15"/>
      <c r="FC50" s="15"/>
      <c r="FF50" s="15"/>
      <c r="FI50" s="15"/>
      <c r="FL50" s="15"/>
      <c r="FO50" s="15"/>
      <c r="FR50" s="15"/>
      <c r="FZ50" s="15"/>
      <c r="GB50" s="15"/>
      <c r="GC50" s="15"/>
      <c r="GE50" s="15"/>
      <c r="GF50" s="15"/>
      <c r="GH50" s="15"/>
      <c r="GI50" s="15"/>
      <c r="GK50" s="15"/>
      <c r="GL50" s="15"/>
      <c r="GN50" s="15"/>
      <c r="GO50" s="15"/>
      <c r="GQ50" s="15"/>
      <c r="GR50" s="15"/>
      <c r="GT50" s="15"/>
      <c r="GU50" s="15"/>
      <c r="GW50" s="15"/>
      <c r="GX50" s="15"/>
      <c r="GZ50" s="15"/>
      <c r="HE50" s="15">
        <f>12*'[1]MODEL 2026'!$E$17</f>
        <v>24000</v>
      </c>
    </row>
    <row r="51" spans="1:214" outlineLevel="1">
      <c r="A51" s="1" t="s">
        <v>61</v>
      </c>
      <c r="B51" s="1" t="s">
        <v>113</v>
      </c>
      <c r="C51" s="4" t="s">
        <v>114</v>
      </c>
      <c r="D51" s="43"/>
      <c r="E51" s="34"/>
      <c r="F51" s="43"/>
      <c r="G51" s="34"/>
      <c r="H51" s="46"/>
      <c r="I51" s="36"/>
      <c r="J51" s="14"/>
      <c r="M51" s="17"/>
      <c r="N51" s="17"/>
      <c r="T51" s="157"/>
      <c r="U51" s="16"/>
      <c r="Y51" s="118"/>
      <c r="AB51" s="185"/>
      <c r="AC51" s="187"/>
      <c r="AD51" s="187"/>
      <c r="AF51" s="182"/>
      <c r="AH51" s="15"/>
      <c r="AI51" s="17"/>
      <c r="AS51" s="15"/>
      <c r="AV51" s="15"/>
      <c r="AX51" s="15"/>
      <c r="AY51" s="15"/>
      <c r="BB51" s="15"/>
      <c r="BD51" s="15"/>
      <c r="BE51" s="15"/>
      <c r="BG51" s="15"/>
      <c r="BH51" s="15"/>
      <c r="BK51" s="235"/>
      <c r="BM51" s="15"/>
      <c r="BN51" s="235"/>
      <c r="BO51" s="235"/>
      <c r="BQ51" s="15"/>
      <c r="BR51" s="15"/>
      <c r="BT51" s="15"/>
      <c r="BU51" s="15"/>
      <c r="BW51" s="15"/>
      <c r="BX51" s="15"/>
      <c r="BZ51" s="15"/>
      <c r="CA51" s="15"/>
      <c r="CC51" s="15"/>
      <c r="CD51" s="15"/>
      <c r="CF51" s="15"/>
      <c r="CG51" s="15"/>
      <c r="CI51" s="15"/>
      <c r="CJ51" s="15"/>
      <c r="CM51" s="15"/>
      <c r="CP51" s="15"/>
      <c r="CS51" s="15"/>
      <c r="CV51" s="15"/>
      <c r="CY51" s="15"/>
      <c r="DE51" s="15"/>
      <c r="DF51" s="15"/>
      <c r="DH51" s="15"/>
      <c r="DI51" s="15"/>
      <c r="DK51" s="15"/>
      <c r="DL51" s="15"/>
      <c r="DN51" s="15"/>
      <c r="DO51" s="15"/>
      <c r="DQ51" s="15"/>
      <c r="DR51" s="15"/>
      <c r="DT51" s="15"/>
      <c r="DU51" s="15"/>
      <c r="DW51" s="15"/>
      <c r="DX51" s="15"/>
      <c r="DZ51" s="15"/>
      <c r="EA51" s="15"/>
      <c r="EC51" s="15"/>
      <c r="ED51" s="15"/>
      <c r="EF51" s="15"/>
      <c r="EG51" s="15"/>
      <c r="EK51" s="15"/>
      <c r="EM51" s="15"/>
      <c r="EN51" s="15"/>
      <c r="EP51" s="15"/>
      <c r="EQ51" s="15"/>
      <c r="ES51" s="15"/>
      <c r="ET51" s="15"/>
      <c r="EW51" s="15"/>
      <c r="EZ51" s="15"/>
      <c r="FC51" s="15"/>
      <c r="FF51" s="15"/>
      <c r="FI51" s="15"/>
      <c r="FL51" s="15"/>
      <c r="FO51" s="15"/>
      <c r="FR51" s="15"/>
      <c r="FZ51" s="15"/>
      <c r="GB51" s="15"/>
      <c r="GC51" s="15"/>
      <c r="GE51" s="15"/>
      <c r="GF51" s="15"/>
      <c r="GH51" s="15"/>
      <c r="GI51" s="15"/>
      <c r="GK51" s="15"/>
      <c r="GL51" s="15"/>
      <c r="GN51" s="15"/>
      <c r="GO51" s="15"/>
      <c r="GQ51" s="15"/>
      <c r="GR51" s="15"/>
      <c r="GT51" s="15"/>
      <c r="GU51" s="15"/>
      <c r="GW51" s="15"/>
      <c r="GX51" s="15"/>
      <c r="GZ51" s="15"/>
      <c r="HE51" s="15">
        <f>479200.3+100000+1926</f>
        <v>581126.30000000005</v>
      </c>
    </row>
    <row r="52" spans="1:214" outlineLevel="1">
      <c r="A52" s="1" t="s">
        <v>61</v>
      </c>
      <c r="B52" s="1" t="s">
        <v>146</v>
      </c>
      <c r="C52" s="4" t="s">
        <v>147</v>
      </c>
      <c r="D52" s="43"/>
      <c r="E52" s="34"/>
      <c r="F52" s="43"/>
      <c r="G52" s="34"/>
      <c r="H52" s="46"/>
      <c r="I52" s="36"/>
      <c r="J52" s="14"/>
      <c r="M52" s="17"/>
      <c r="N52" s="17"/>
      <c r="T52" s="157"/>
      <c r="U52" s="16"/>
      <c r="Y52" s="118"/>
      <c r="AB52" s="185"/>
      <c r="AC52" s="187"/>
      <c r="AD52" s="187"/>
      <c r="AF52" s="182"/>
      <c r="AH52" s="15"/>
      <c r="AI52" s="17"/>
      <c r="AS52" s="15"/>
      <c r="AV52" s="15"/>
      <c r="AX52" s="15"/>
      <c r="AY52" s="15"/>
      <c r="BB52" s="15"/>
      <c r="BD52" s="15"/>
      <c r="BE52" s="15"/>
      <c r="BG52" s="15"/>
      <c r="BH52" s="15"/>
      <c r="BK52" s="235"/>
      <c r="BM52" s="15"/>
      <c r="BN52" s="235"/>
      <c r="BO52" s="235"/>
      <c r="BQ52" s="15"/>
      <c r="BR52" s="15"/>
      <c r="BT52" s="15"/>
      <c r="BU52" s="15"/>
      <c r="BW52" s="15"/>
      <c r="BX52" s="15"/>
      <c r="BZ52" s="15"/>
      <c r="CA52" s="15"/>
      <c r="CC52" s="15"/>
      <c r="CD52" s="15"/>
      <c r="CF52" s="15"/>
      <c r="CG52" s="15"/>
      <c r="CI52" s="15"/>
      <c r="CJ52" s="15"/>
      <c r="CM52" s="15"/>
      <c r="CP52" s="15"/>
      <c r="CS52" s="15"/>
      <c r="CV52" s="15"/>
      <c r="CY52" s="15"/>
      <c r="DE52" s="15"/>
      <c r="DF52" s="15"/>
      <c r="DH52" s="15"/>
      <c r="DI52" s="15"/>
      <c r="DK52" s="15"/>
      <c r="DL52" s="15"/>
      <c r="DN52" s="15"/>
      <c r="DO52" s="15"/>
      <c r="DQ52" s="15"/>
      <c r="DR52" s="15"/>
      <c r="DT52" s="15"/>
      <c r="DU52" s="15"/>
      <c r="DW52" s="15"/>
      <c r="DX52" s="15"/>
      <c r="DZ52" s="15"/>
      <c r="EA52" s="15"/>
      <c r="EC52" s="15"/>
      <c r="ED52" s="15"/>
      <c r="EF52" s="15"/>
      <c r="EG52" s="15"/>
      <c r="EK52" s="15"/>
      <c r="EM52" s="15"/>
      <c r="EN52" s="15"/>
      <c r="EP52" s="15"/>
      <c r="EQ52" s="15"/>
      <c r="ES52" s="15"/>
      <c r="ET52" s="15"/>
      <c r="EW52" s="15"/>
      <c r="EZ52" s="15"/>
      <c r="FC52" s="15"/>
      <c r="FF52" s="15"/>
      <c r="FI52" s="15"/>
      <c r="FL52" s="15"/>
      <c r="FO52" s="15"/>
      <c r="FR52" s="15"/>
      <c r="FZ52" s="15"/>
      <c r="GB52" s="15"/>
      <c r="GC52" s="15"/>
      <c r="GE52" s="15"/>
      <c r="GF52" s="15"/>
      <c r="GH52" s="15"/>
      <c r="GI52" s="15"/>
      <c r="GK52" s="15"/>
      <c r="GL52" s="15"/>
      <c r="GN52" s="15"/>
      <c r="GO52" s="15"/>
      <c r="GQ52" s="15"/>
      <c r="GR52" s="15"/>
      <c r="GT52" s="15"/>
      <c r="GU52" s="15"/>
      <c r="GW52" s="15"/>
      <c r="GX52" s="15"/>
      <c r="GZ52" s="15"/>
      <c r="HE52" s="15">
        <f>'[1]MODEL 2026'!$G$16+50000+82000+50000</f>
        <v>200000</v>
      </c>
    </row>
    <row r="53" spans="1:214" outlineLevel="1">
      <c r="A53" s="1" t="s">
        <v>61</v>
      </c>
      <c r="B53" s="1" t="s">
        <v>557</v>
      </c>
      <c r="C53" s="4" t="s">
        <v>558</v>
      </c>
      <c r="D53" s="43"/>
      <c r="E53" s="34"/>
      <c r="F53" s="43"/>
      <c r="G53" s="34"/>
      <c r="H53" s="46"/>
      <c r="I53" s="36"/>
      <c r="J53" s="14"/>
      <c r="M53" s="17"/>
      <c r="N53" s="17"/>
      <c r="T53" s="157"/>
      <c r="U53" s="16"/>
      <c r="Y53" s="118"/>
      <c r="AB53" s="185"/>
      <c r="AC53" s="187"/>
      <c r="AD53" s="187"/>
      <c r="AF53" s="182"/>
      <c r="AH53" s="15"/>
      <c r="AI53" s="17"/>
      <c r="AS53" s="15"/>
      <c r="AV53" s="15"/>
      <c r="AX53" s="15"/>
      <c r="AY53" s="15"/>
      <c r="BB53" s="15"/>
      <c r="BD53" s="15"/>
      <c r="BE53" s="15"/>
      <c r="BG53" s="15"/>
      <c r="BH53" s="15"/>
      <c r="BK53" s="235"/>
      <c r="BM53" s="15"/>
      <c r="BN53" s="235"/>
      <c r="BO53" s="235"/>
      <c r="BQ53" s="15"/>
      <c r="BR53" s="15"/>
      <c r="BT53" s="15"/>
      <c r="BU53" s="15"/>
      <c r="BW53" s="15"/>
      <c r="BX53" s="15"/>
      <c r="BZ53" s="15"/>
      <c r="CA53" s="15"/>
      <c r="CC53" s="15"/>
      <c r="CD53" s="15"/>
      <c r="CF53" s="15"/>
      <c r="CG53" s="15"/>
      <c r="CI53" s="15"/>
      <c r="CJ53" s="15"/>
      <c r="CM53" s="15"/>
      <c r="CP53" s="15"/>
      <c r="CS53" s="15"/>
      <c r="CV53" s="15"/>
      <c r="CY53" s="15"/>
      <c r="DE53" s="15"/>
      <c r="DF53" s="15"/>
      <c r="DH53" s="15"/>
      <c r="DI53" s="15"/>
      <c r="DK53" s="15"/>
      <c r="DL53" s="15"/>
      <c r="DN53" s="15"/>
      <c r="DO53" s="15"/>
      <c r="DQ53" s="15"/>
      <c r="DR53" s="15"/>
      <c r="DT53" s="15"/>
      <c r="DU53" s="15"/>
      <c r="DW53" s="15"/>
      <c r="DX53" s="15"/>
      <c r="DZ53" s="15"/>
      <c r="EA53" s="15"/>
      <c r="EC53" s="15"/>
      <c r="ED53" s="15"/>
      <c r="EF53" s="15"/>
      <c r="EG53" s="15"/>
      <c r="EK53" s="15"/>
      <c r="EM53" s="15"/>
      <c r="EN53" s="15"/>
      <c r="EP53" s="15"/>
      <c r="EQ53" s="15"/>
      <c r="ES53" s="15"/>
      <c r="ET53" s="15"/>
      <c r="EW53" s="15"/>
      <c r="EZ53" s="15"/>
      <c r="FC53" s="15"/>
      <c r="FF53" s="15"/>
      <c r="FI53" s="15"/>
      <c r="FL53" s="15"/>
      <c r="FO53" s="15"/>
      <c r="FR53" s="15"/>
      <c r="FV53" s="424"/>
      <c r="FZ53" s="15"/>
      <c r="GB53" s="15"/>
      <c r="GC53" s="15"/>
      <c r="GE53" s="227">
        <v>400000</v>
      </c>
      <c r="GF53" s="15">
        <f>GC53+GE53</f>
        <v>400000</v>
      </c>
      <c r="GH53" s="15"/>
      <c r="GI53" s="15">
        <f>GF53+GH53</f>
        <v>400000</v>
      </c>
      <c r="GK53" s="15"/>
      <c r="GL53" s="15">
        <f>GI53+GK53</f>
        <v>400000</v>
      </c>
      <c r="GN53" s="15"/>
      <c r="GO53" s="15">
        <f>GL53+GN53</f>
        <v>400000</v>
      </c>
      <c r="GQ53" s="227">
        <v>0</v>
      </c>
      <c r="GR53" s="15">
        <f>GO53+GQ53</f>
        <v>400000</v>
      </c>
      <c r="GT53" s="15"/>
      <c r="GU53" s="15">
        <f>GR53+GT53</f>
        <v>400000</v>
      </c>
      <c r="GW53" s="227">
        <v>-20000</v>
      </c>
      <c r="GX53" s="15">
        <f t="shared" si="131"/>
        <v>380000</v>
      </c>
      <c r="GZ53" s="227">
        <v>-299000</v>
      </c>
      <c r="HA53" s="189">
        <f t="shared" si="132"/>
        <v>81000</v>
      </c>
      <c r="HC53" s="189">
        <v>80464.38</v>
      </c>
      <c r="HE53" s="15">
        <v>350000</v>
      </c>
    </row>
    <row r="54" spans="1:214" outlineLevel="1">
      <c r="A54" s="1" t="s">
        <v>61</v>
      </c>
      <c r="B54" s="1" t="s">
        <v>157</v>
      </c>
      <c r="C54" s="4" t="s">
        <v>158</v>
      </c>
      <c r="D54" s="43"/>
      <c r="E54" s="34"/>
      <c r="F54" s="43"/>
      <c r="G54" s="34"/>
      <c r="H54" s="46"/>
      <c r="I54" s="36"/>
      <c r="J54" s="14"/>
      <c r="M54" s="17"/>
      <c r="N54" s="17"/>
      <c r="T54" s="157"/>
      <c r="U54" s="16"/>
      <c r="Y54" s="118"/>
      <c r="AB54" s="185"/>
      <c r="AC54" s="187"/>
      <c r="AD54" s="187"/>
      <c r="AF54" s="182"/>
      <c r="AH54" s="15"/>
      <c r="AI54" s="17"/>
      <c r="AS54" s="15"/>
      <c r="AV54" s="15"/>
      <c r="AX54" s="15"/>
      <c r="AY54" s="15"/>
      <c r="BB54" s="15"/>
      <c r="BD54" s="15"/>
      <c r="BE54" s="15"/>
      <c r="BG54" s="15"/>
      <c r="BH54" s="15"/>
      <c r="BK54" s="235"/>
      <c r="BM54" s="15"/>
      <c r="BN54" s="235"/>
      <c r="BO54" s="235"/>
      <c r="BQ54" s="15"/>
      <c r="BR54" s="15"/>
      <c r="BT54" s="15"/>
      <c r="BU54" s="15"/>
      <c r="BW54" s="15"/>
      <c r="BX54" s="15"/>
      <c r="BZ54" s="15"/>
      <c r="CA54" s="15"/>
      <c r="CC54" s="15"/>
      <c r="CD54" s="15"/>
      <c r="CF54" s="15"/>
      <c r="CG54" s="15"/>
      <c r="CI54" s="15"/>
      <c r="CJ54" s="15"/>
      <c r="CM54" s="15"/>
      <c r="CP54" s="15"/>
      <c r="CS54" s="15"/>
      <c r="CV54" s="15"/>
      <c r="CY54" s="15"/>
      <c r="DE54" s="15"/>
      <c r="DF54" s="15"/>
      <c r="DH54" s="15"/>
      <c r="DI54" s="15"/>
      <c r="DK54" s="15"/>
      <c r="DL54" s="15"/>
      <c r="DN54" s="15"/>
      <c r="DO54" s="15"/>
      <c r="DQ54" s="15"/>
      <c r="DR54" s="15"/>
      <c r="DT54" s="15"/>
      <c r="DU54" s="15"/>
      <c r="DW54" s="15"/>
      <c r="DX54" s="15"/>
      <c r="DZ54" s="15"/>
      <c r="EA54" s="15"/>
      <c r="EC54" s="15"/>
      <c r="ED54" s="15"/>
      <c r="EF54" s="15"/>
      <c r="EG54" s="15"/>
      <c r="EK54" s="15"/>
      <c r="EM54" s="15"/>
      <c r="EN54" s="15"/>
      <c r="EP54" s="15"/>
      <c r="EQ54" s="15"/>
      <c r="ES54" s="15"/>
      <c r="ET54" s="15"/>
      <c r="EW54" s="15"/>
      <c r="EZ54" s="15"/>
      <c r="FC54" s="15"/>
      <c r="FF54" s="15"/>
      <c r="FI54" s="15"/>
      <c r="FL54" s="15"/>
      <c r="FO54" s="15"/>
      <c r="FR54" s="15"/>
      <c r="FV54" s="424"/>
      <c r="FZ54" s="15"/>
      <c r="GB54" s="15"/>
      <c r="GC54" s="15"/>
      <c r="GE54" s="227"/>
      <c r="GF54" s="15"/>
      <c r="GH54" s="15"/>
      <c r="GI54" s="15"/>
      <c r="GK54" s="15"/>
      <c r="GL54" s="15"/>
      <c r="GN54" s="15"/>
      <c r="GO54" s="15"/>
      <c r="GQ54" s="15"/>
      <c r="GR54" s="15"/>
      <c r="GT54" s="15"/>
      <c r="GU54" s="15"/>
      <c r="GW54" s="227">
        <v>1600</v>
      </c>
      <c r="GX54" s="15">
        <f t="shared" si="131"/>
        <v>1600</v>
      </c>
      <c r="GZ54" s="15"/>
      <c r="HA54" s="189">
        <f t="shared" si="132"/>
        <v>1600</v>
      </c>
      <c r="HC54" s="189">
        <v>1558</v>
      </c>
      <c r="HE54" s="15">
        <v>2500</v>
      </c>
    </row>
    <row r="55" spans="1:214" outlineLevel="1">
      <c r="A55" s="1" t="s">
        <v>61</v>
      </c>
      <c r="B55" s="1" t="s">
        <v>161</v>
      </c>
      <c r="C55" s="4" t="s">
        <v>162</v>
      </c>
      <c r="D55" s="43"/>
      <c r="E55" s="34"/>
      <c r="F55" s="43"/>
      <c r="G55" s="34"/>
      <c r="H55" s="46"/>
      <c r="I55" s="36"/>
      <c r="J55" s="14"/>
      <c r="M55" s="17"/>
      <c r="N55" s="17"/>
      <c r="T55" s="157"/>
      <c r="U55" s="16"/>
      <c r="Y55" s="118"/>
      <c r="AB55" s="185"/>
      <c r="AC55" s="187"/>
      <c r="AD55" s="187"/>
      <c r="AF55" s="182"/>
      <c r="AH55" s="15"/>
      <c r="AI55" s="17"/>
      <c r="AS55" s="15"/>
      <c r="AV55" s="15"/>
      <c r="AX55" s="15"/>
      <c r="AY55" s="15"/>
      <c r="BB55" s="15"/>
      <c r="BD55" s="15"/>
      <c r="BE55" s="15"/>
      <c r="BG55" s="15"/>
      <c r="BH55" s="15"/>
      <c r="BK55" s="235"/>
      <c r="BM55" s="15"/>
      <c r="BN55" s="235"/>
      <c r="BO55" s="235"/>
      <c r="BQ55" s="15"/>
      <c r="BR55" s="15"/>
      <c r="BT55" s="15"/>
      <c r="BU55" s="15"/>
      <c r="BW55" s="15"/>
      <c r="BX55" s="15"/>
      <c r="BZ55" s="15"/>
      <c r="CA55" s="15"/>
      <c r="CC55" s="15"/>
      <c r="CD55" s="15"/>
      <c r="CF55" s="15"/>
      <c r="CG55" s="15"/>
      <c r="CI55" s="15"/>
      <c r="CJ55" s="15"/>
      <c r="CM55" s="15"/>
      <c r="CP55" s="15"/>
      <c r="CS55" s="15"/>
      <c r="CV55" s="15"/>
      <c r="CY55" s="15"/>
      <c r="DE55" s="15"/>
      <c r="DF55" s="15"/>
      <c r="DH55" s="15"/>
      <c r="DI55" s="15"/>
      <c r="DK55" s="15"/>
      <c r="DL55" s="15"/>
      <c r="DN55" s="15"/>
      <c r="DO55" s="15"/>
      <c r="DQ55" s="15"/>
      <c r="DR55" s="15"/>
      <c r="DT55" s="15"/>
      <c r="DU55" s="15"/>
      <c r="DW55" s="15"/>
      <c r="DX55" s="15"/>
      <c r="DZ55" s="15"/>
      <c r="EA55" s="15"/>
      <c r="EC55" s="15"/>
      <c r="ED55" s="15"/>
      <c r="EF55" s="15"/>
      <c r="EG55" s="15"/>
      <c r="EK55" s="15"/>
      <c r="EM55" s="15"/>
      <c r="EN55" s="15"/>
      <c r="EP55" s="15"/>
      <c r="EQ55" s="15"/>
      <c r="ES55" s="15"/>
      <c r="ET55" s="15"/>
      <c r="EW55" s="15"/>
      <c r="EZ55" s="15"/>
      <c r="FC55" s="15"/>
      <c r="FF55" s="15"/>
      <c r="FI55" s="15"/>
      <c r="FL55" s="15"/>
      <c r="FO55" s="15"/>
      <c r="FR55" s="15"/>
      <c r="FV55" s="424"/>
      <c r="FZ55" s="15"/>
      <c r="GB55" s="15"/>
      <c r="GC55" s="15"/>
      <c r="GE55" s="227"/>
      <c r="GF55" s="15"/>
      <c r="GH55" s="15"/>
      <c r="GI55" s="15"/>
      <c r="GK55" s="15"/>
      <c r="GL55" s="15"/>
      <c r="GN55" s="15"/>
      <c r="GO55" s="15"/>
      <c r="GQ55" s="15"/>
      <c r="GR55" s="15"/>
      <c r="GT55" s="15"/>
      <c r="GU55" s="15"/>
      <c r="GW55" s="227"/>
      <c r="GX55" s="15"/>
      <c r="GZ55" s="227">
        <v>4000</v>
      </c>
      <c r="HA55" s="189">
        <f t="shared" si="132"/>
        <v>4000</v>
      </c>
      <c r="HC55" s="189">
        <v>3810</v>
      </c>
      <c r="HE55" s="15">
        <f>12*'[1]MODEL 2026'!$E$14</f>
        <v>36000</v>
      </c>
    </row>
    <row r="56" spans="1:214" outlineLevel="1">
      <c r="A56" s="1" t="s">
        <v>61</v>
      </c>
      <c r="B56" s="1" t="s">
        <v>227</v>
      </c>
      <c r="C56" s="4" t="s">
        <v>228</v>
      </c>
      <c r="D56" s="43"/>
      <c r="E56" s="34"/>
      <c r="F56" s="43"/>
      <c r="G56" s="34"/>
      <c r="H56" s="46"/>
      <c r="I56" s="36"/>
      <c r="J56" s="14"/>
      <c r="M56" s="17"/>
      <c r="N56" s="17"/>
      <c r="T56" s="157"/>
      <c r="U56" s="16"/>
      <c r="Y56" s="118"/>
      <c r="AB56" s="185"/>
      <c r="AC56" s="187"/>
      <c r="AD56" s="187"/>
      <c r="AF56" s="182"/>
      <c r="AH56" s="15"/>
      <c r="AI56" s="17"/>
      <c r="AS56" s="15"/>
      <c r="AV56" s="15"/>
      <c r="AX56" s="15"/>
      <c r="AY56" s="15"/>
      <c r="BB56" s="15"/>
      <c r="BD56" s="15"/>
      <c r="BE56" s="15"/>
      <c r="BG56" s="15"/>
      <c r="BH56" s="15"/>
      <c r="BK56" s="235"/>
      <c r="BM56" s="15"/>
      <c r="BN56" s="235"/>
      <c r="BO56" s="235"/>
      <c r="BQ56" s="15"/>
      <c r="BR56" s="15"/>
      <c r="BT56" s="15"/>
      <c r="BU56" s="15"/>
      <c r="BW56" s="15"/>
      <c r="BX56" s="15"/>
      <c r="BZ56" s="15"/>
      <c r="CA56" s="15"/>
      <c r="CC56" s="15"/>
      <c r="CD56" s="15"/>
      <c r="CF56" s="15"/>
      <c r="CG56" s="15"/>
      <c r="CI56" s="15"/>
      <c r="CJ56" s="15"/>
      <c r="CM56" s="15"/>
      <c r="CP56" s="15"/>
      <c r="CS56" s="15"/>
      <c r="CV56" s="15"/>
      <c r="CY56" s="15"/>
      <c r="DE56" s="15"/>
      <c r="DF56" s="15"/>
      <c r="DH56" s="15"/>
      <c r="DI56" s="15"/>
      <c r="DK56" s="15"/>
      <c r="DL56" s="15"/>
      <c r="DN56" s="15"/>
      <c r="DO56" s="15"/>
      <c r="DQ56" s="15"/>
      <c r="DR56" s="15"/>
      <c r="DT56" s="15"/>
      <c r="DU56" s="15"/>
      <c r="DW56" s="15"/>
      <c r="DX56" s="15"/>
      <c r="DZ56" s="15"/>
      <c r="EA56" s="15"/>
      <c r="EC56" s="15"/>
      <c r="ED56" s="15"/>
      <c r="EF56" s="15"/>
      <c r="EG56" s="15"/>
      <c r="EK56" s="15"/>
      <c r="EM56" s="15"/>
      <c r="EN56" s="15"/>
      <c r="EP56" s="15"/>
      <c r="EQ56" s="15"/>
      <c r="ES56" s="15"/>
      <c r="ET56" s="15"/>
      <c r="EW56" s="15"/>
      <c r="EZ56" s="15"/>
      <c r="FC56" s="15"/>
      <c r="FF56" s="15"/>
      <c r="FI56" s="15"/>
      <c r="FL56" s="15"/>
      <c r="FO56" s="15"/>
      <c r="FR56" s="15"/>
      <c r="FV56" s="424"/>
      <c r="FZ56" s="15"/>
      <c r="GB56" s="15"/>
      <c r="GC56" s="15"/>
      <c r="GE56" s="227"/>
      <c r="GF56" s="15"/>
      <c r="GH56" s="15"/>
      <c r="GI56" s="15"/>
      <c r="GK56" s="15"/>
      <c r="GL56" s="15"/>
      <c r="GN56" s="15"/>
      <c r="GO56" s="15"/>
      <c r="GQ56" s="15"/>
      <c r="GR56" s="15"/>
      <c r="GT56" s="15"/>
      <c r="GU56" s="15"/>
      <c r="GW56" s="227"/>
      <c r="GX56" s="15"/>
      <c r="GZ56" s="227"/>
      <c r="HE56" s="15">
        <f>'[1]MODEL 2026'!$G$20</f>
        <v>20000</v>
      </c>
    </row>
    <row r="57" spans="1:214" outlineLevel="1">
      <c r="A57" s="1" t="s">
        <v>61</v>
      </c>
      <c r="B57" s="1" t="s">
        <v>195</v>
      </c>
      <c r="C57" s="4" t="s">
        <v>196</v>
      </c>
      <c r="D57" s="43"/>
      <c r="E57" s="34"/>
      <c r="F57" s="43"/>
      <c r="G57" s="34"/>
      <c r="H57" s="46"/>
      <c r="I57" s="36"/>
      <c r="J57" s="14"/>
      <c r="M57" s="17"/>
      <c r="N57" s="17"/>
      <c r="T57" s="157"/>
      <c r="U57" s="16"/>
      <c r="Y57" s="118"/>
      <c r="AB57" s="185"/>
      <c r="AC57" s="187"/>
      <c r="AD57" s="187"/>
      <c r="AF57" s="182"/>
      <c r="AH57" s="15"/>
      <c r="AI57" s="17"/>
      <c r="AS57" s="15"/>
      <c r="AV57" s="15"/>
      <c r="AX57" s="15"/>
      <c r="AY57" s="15"/>
      <c r="BB57" s="15"/>
      <c r="BD57" s="15"/>
      <c r="BE57" s="15"/>
      <c r="BG57" s="15"/>
      <c r="BH57" s="15"/>
      <c r="BK57" s="235"/>
      <c r="BM57" s="15"/>
      <c r="BN57" s="235"/>
      <c r="BO57" s="235"/>
      <c r="BQ57" s="15"/>
      <c r="BR57" s="15"/>
      <c r="BT57" s="15"/>
      <c r="BU57" s="15"/>
      <c r="BW57" s="15"/>
      <c r="BX57" s="15"/>
      <c r="BZ57" s="15"/>
      <c r="CA57" s="15"/>
      <c r="CC57" s="15"/>
      <c r="CD57" s="15"/>
      <c r="CF57" s="15"/>
      <c r="CG57" s="15"/>
      <c r="CI57" s="15"/>
      <c r="CJ57" s="15"/>
      <c r="CM57" s="15"/>
      <c r="CP57" s="15"/>
      <c r="CS57" s="15"/>
      <c r="CV57" s="15"/>
      <c r="CY57" s="15"/>
      <c r="DE57" s="15"/>
      <c r="DF57" s="15"/>
      <c r="DH57" s="15"/>
      <c r="DI57" s="15"/>
      <c r="DK57" s="15"/>
      <c r="DL57" s="15"/>
      <c r="DN57" s="15"/>
      <c r="DO57" s="15"/>
      <c r="DQ57" s="15"/>
      <c r="DR57" s="15"/>
      <c r="DT57" s="15"/>
      <c r="DU57" s="15"/>
      <c r="DW57" s="15"/>
      <c r="DX57" s="15"/>
      <c r="DZ57" s="15"/>
      <c r="EA57" s="15"/>
      <c r="EC57" s="15"/>
      <c r="ED57" s="15"/>
      <c r="EF57" s="15"/>
      <c r="EG57" s="15"/>
      <c r="EK57" s="15"/>
      <c r="EM57" s="15"/>
      <c r="EN57" s="15"/>
      <c r="EP57" s="15"/>
      <c r="EQ57" s="15"/>
      <c r="ES57" s="15"/>
      <c r="ET57" s="15"/>
      <c r="EW57" s="15"/>
      <c r="EZ57" s="15"/>
      <c r="FC57" s="15"/>
      <c r="FF57" s="15"/>
      <c r="FI57" s="15"/>
      <c r="FL57" s="15"/>
      <c r="FO57" s="15"/>
      <c r="FR57" s="15"/>
      <c r="FV57" s="424"/>
      <c r="FZ57" s="15"/>
      <c r="GB57" s="15"/>
      <c r="GC57" s="15"/>
      <c r="GE57" s="227"/>
      <c r="GF57" s="15"/>
      <c r="GH57" s="15"/>
      <c r="GI57" s="15"/>
      <c r="GK57" s="15"/>
      <c r="GL57" s="15"/>
      <c r="GN57" s="15"/>
      <c r="GO57" s="15"/>
      <c r="GQ57" s="15"/>
      <c r="GR57" s="15"/>
      <c r="GT57" s="15"/>
      <c r="GU57" s="15"/>
      <c r="GW57" s="227"/>
      <c r="GX57" s="15"/>
      <c r="GZ57" s="227"/>
      <c r="HE57" s="15">
        <f>'[1]MODEL 2026'!$G$22+5000</f>
        <v>16100</v>
      </c>
    </row>
    <row r="58" spans="1:214" outlineLevel="1">
      <c r="A58" s="1" t="s">
        <v>61</v>
      </c>
      <c r="B58" s="1" t="s">
        <v>115</v>
      </c>
      <c r="C58" s="4" t="s">
        <v>116</v>
      </c>
      <c r="D58" s="43"/>
      <c r="E58" s="34"/>
      <c r="F58" s="43"/>
      <c r="G58" s="34"/>
      <c r="H58" s="46"/>
      <c r="I58" s="36"/>
      <c r="J58" s="14"/>
      <c r="M58" s="17"/>
      <c r="N58" s="17"/>
      <c r="T58" s="157"/>
      <c r="U58" s="16"/>
      <c r="Y58" s="118"/>
      <c r="AB58" s="185"/>
      <c r="AC58" s="187"/>
      <c r="AD58" s="187"/>
      <c r="AF58" s="182"/>
      <c r="AH58" s="15"/>
      <c r="AI58" s="17"/>
      <c r="AS58" s="15"/>
      <c r="AV58" s="15"/>
      <c r="AX58" s="15"/>
      <c r="AY58" s="15"/>
      <c r="BB58" s="15"/>
      <c r="BD58" s="15"/>
      <c r="BE58" s="15"/>
      <c r="BG58" s="15"/>
      <c r="BH58" s="15"/>
      <c r="BK58" s="235"/>
      <c r="BM58" s="15"/>
      <c r="BN58" s="235"/>
      <c r="BO58" s="235"/>
      <c r="BQ58" s="15"/>
      <c r="BR58" s="15"/>
      <c r="BT58" s="15"/>
      <c r="BU58" s="15"/>
      <c r="BW58" s="15"/>
      <c r="BX58" s="15"/>
      <c r="BZ58" s="15"/>
      <c r="CA58" s="15"/>
      <c r="CC58" s="15"/>
      <c r="CD58" s="15"/>
      <c r="CF58" s="15"/>
      <c r="CG58" s="15"/>
      <c r="CI58" s="15"/>
      <c r="CJ58" s="15"/>
      <c r="CM58" s="15"/>
      <c r="CP58" s="15"/>
      <c r="CS58" s="15"/>
      <c r="CV58" s="15"/>
      <c r="CY58" s="15"/>
      <c r="DE58" s="15"/>
      <c r="DF58" s="15"/>
      <c r="DH58" s="15"/>
      <c r="DI58" s="15"/>
      <c r="DK58" s="15"/>
      <c r="DL58" s="15"/>
      <c r="DN58" s="15"/>
      <c r="DO58" s="15"/>
      <c r="DQ58" s="15"/>
      <c r="DR58" s="15"/>
      <c r="DT58" s="15"/>
      <c r="DU58" s="15"/>
      <c r="DW58" s="15"/>
      <c r="DX58" s="15"/>
      <c r="DZ58" s="15"/>
      <c r="EA58" s="15"/>
      <c r="EC58" s="15"/>
      <c r="ED58" s="15"/>
      <c r="EF58" s="15"/>
      <c r="EG58" s="15"/>
      <c r="EK58" s="15"/>
      <c r="EM58" s="15"/>
      <c r="EN58" s="15"/>
      <c r="EP58" s="15"/>
      <c r="EQ58" s="15"/>
      <c r="ES58" s="15"/>
      <c r="ET58" s="15"/>
      <c r="EW58" s="15"/>
      <c r="EZ58" s="15"/>
      <c r="FC58" s="15"/>
      <c r="FF58" s="15"/>
      <c r="FI58" s="15"/>
      <c r="FL58" s="15"/>
      <c r="FO58" s="15"/>
      <c r="FR58" s="15"/>
      <c r="FV58" s="424"/>
      <c r="FZ58" s="15"/>
      <c r="GB58" s="15"/>
      <c r="GC58" s="15"/>
      <c r="GE58" s="227"/>
      <c r="GF58" s="15"/>
      <c r="GH58" s="15"/>
      <c r="GI58" s="15"/>
      <c r="GK58" s="15"/>
      <c r="GL58" s="15"/>
      <c r="GN58" s="15"/>
      <c r="GO58" s="15"/>
      <c r="GQ58" s="227">
        <v>20000</v>
      </c>
      <c r="GR58" s="15">
        <f>GO58+GQ58</f>
        <v>20000</v>
      </c>
      <c r="GT58" s="15"/>
      <c r="GU58" s="15">
        <f>GR58+GT58</f>
        <v>20000</v>
      </c>
      <c r="GW58" s="15"/>
      <c r="GX58" s="15">
        <f t="shared" si="131"/>
        <v>20000</v>
      </c>
      <c r="GZ58" s="15"/>
      <c r="HA58" s="189">
        <f t="shared" si="132"/>
        <v>20000</v>
      </c>
      <c r="HC58" s="189">
        <v>8457.9</v>
      </c>
      <c r="HE58" s="15">
        <f>'[1]MODEL 2026'!$G$13</f>
        <v>93700</v>
      </c>
    </row>
    <row r="59" spans="1:214" outlineLevel="1">
      <c r="A59" s="1" t="s">
        <v>61</v>
      </c>
      <c r="B59" s="1" t="s">
        <v>117</v>
      </c>
      <c r="C59" s="4" t="s">
        <v>118</v>
      </c>
      <c r="D59" s="43"/>
      <c r="E59" s="34"/>
      <c r="F59" s="43"/>
      <c r="G59" s="34"/>
      <c r="H59" s="46"/>
      <c r="I59" s="36"/>
      <c r="J59" s="14"/>
      <c r="M59" s="17"/>
      <c r="N59" s="17"/>
      <c r="T59" s="157"/>
      <c r="U59" s="16"/>
      <c r="Y59" s="118"/>
      <c r="AB59" s="185"/>
      <c r="AC59" s="187"/>
      <c r="AD59" s="187"/>
      <c r="AF59" s="182"/>
      <c r="AH59" s="15"/>
      <c r="AI59" s="17"/>
      <c r="AS59" s="15"/>
      <c r="AV59" s="15"/>
      <c r="AX59" s="15"/>
      <c r="AY59" s="15"/>
      <c r="BB59" s="15"/>
      <c r="BD59" s="15"/>
      <c r="BE59" s="15"/>
      <c r="BG59" s="15"/>
      <c r="BH59" s="15"/>
      <c r="BK59" s="235"/>
      <c r="BM59" s="15"/>
      <c r="BN59" s="235"/>
      <c r="BO59" s="235"/>
      <c r="BQ59" s="15"/>
      <c r="BR59" s="15"/>
      <c r="BT59" s="15"/>
      <c r="BU59" s="15"/>
      <c r="BW59" s="15"/>
      <c r="BX59" s="15"/>
      <c r="BZ59" s="15"/>
      <c r="CA59" s="15"/>
      <c r="CC59" s="15"/>
      <c r="CD59" s="15"/>
      <c r="CF59" s="15"/>
      <c r="CG59" s="15"/>
      <c r="CI59" s="15"/>
      <c r="CJ59" s="15"/>
      <c r="CM59" s="15"/>
      <c r="CP59" s="15"/>
      <c r="CS59" s="15"/>
      <c r="CV59" s="15"/>
      <c r="CY59" s="15"/>
      <c r="DE59" s="15"/>
      <c r="DF59" s="15"/>
      <c r="DH59" s="15"/>
      <c r="DI59" s="15"/>
      <c r="DK59" s="15"/>
      <c r="DL59" s="15"/>
      <c r="DN59" s="15"/>
      <c r="DO59" s="15"/>
      <c r="DQ59" s="15"/>
      <c r="DR59" s="15"/>
      <c r="DT59" s="15"/>
      <c r="DU59" s="15"/>
      <c r="DW59" s="15"/>
      <c r="DX59" s="15"/>
      <c r="DZ59" s="15"/>
      <c r="EA59" s="15"/>
      <c r="EC59" s="15"/>
      <c r="ED59" s="15"/>
      <c r="EF59" s="15"/>
      <c r="EG59" s="15"/>
      <c r="EK59" s="15"/>
      <c r="EM59" s="15"/>
      <c r="EN59" s="15"/>
      <c r="EP59" s="15"/>
      <c r="EQ59" s="15"/>
      <c r="ES59" s="15"/>
      <c r="ET59" s="15"/>
      <c r="EW59" s="15"/>
      <c r="EZ59" s="15"/>
      <c r="FC59" s="15"/>
      <c r="FF59" s="15"/>
      <c r="FI59" s="15"/>
      <c r="FL59" s="15"/>
      <c r="FO59" s="15"/>
      <c r="FR59" s="15"/>
      <c r="FV59" s="424"/>
      <c r="FZ59" s="15"/>
      <c r="GB59" s="15"/>
      <c r="GC59" s="15"/>
      <c r="GE59" s="227"/>
      <c r="GF59" s="15"/>
      <c r="GH59" s="15"/>
      <c r="GI59" s="15"/>
      <c r="GK59" s="15"/>
      <c r="GL59" s="15"/>
      <c r="GN59" s="15"/>
      <c r="GO59" s="15"/>
      <c r="GQ59" s="227"/>
      <c r="GR59" s="15"/>
      <c r="GT59" s="15"/>
      <c r="GU59" s="15"/>
      <c r="GW59" s="15"/>
      <c r="GX59" s="15"/>
      <c r="GZ59" s="15"/>
      <c r="HE59" s="15">
        <f>12*'[1]MODEL 2026'!$E$18</f>
        <v>18000</v>
      </c>
    </row>
    <row r="60" spans="1:214" outlineLevel="1">
      <c r="A60" s="1" t="s">
        <v>733</v>
      </c>
      <c r="B60" s="1" t="s">
        <v>148</v>
      </c>
      <c r="C60" s="4" t="s">
        <v>149</v>
      </c>
      <c r="D60" s="43"/>
      <c r="E60" s="34"/>
      <c r="F60" s="43"/>
      <c r="G60" s="34"/>
      <c r="H60" s="46"/>
      <c r="I60" s="36"/>
      <c r="J60" s="14"/>
      <c r="M60" s="17"/>
      <c r="N60" s="17"/>
      <c r="T60" s="157"/>
      <c r="U60" s="16"/>
      <c r="Y60" s="118"/>
      <c r="AB60" s="185"/>
      <c r="AC60" s="187"/>
      <c r="AD60" s="187"/>
      <c r="AF60" s="182"/>
      <c r="AH60" s="15"/>
      <c r="AI60" s="17"/>
      <c r="AS60" s="15"/>
      <c r="AV60" s="15"/>
      <c r="AX60" s="15"/>
      <c r="AY60" s="15"/>
      <c r="BB60" s="15"/>
      <c r="BD60" s="15"/>
      <c r="BE60" s="15"/>
      <c r="BG60" s="15"/>
      <c r="BH60" s="15"/>
      <c r="BK60" s="235"/>
      <c r="BM60" s="15"/>
      <c r="BN60" s="235"/>
      <c r="BO60" s="235"/>
      <c r="BQ60" s="15"/>
      <c r="BR60" s="15"/>
      <c r="BT60" s="15"/>
      <c r="BU60" s="15"/>
      <c r="BW60" s="15"/>
      <c r="BX60" s="15"/>
      <c r="BZ60" s="15"/>
      <c r="CA60" s="15"/>
      <c r="CC60" s="15"/>
      <c r="CD60" s="15"/>
      <c r="CF60" s="15"/>
      <c r="CG60" s="15"/>
      <c r="CI60" s="15"/>
      <c r="CJ60" s="15"/>
      <c r="CM60" s="15"/>
      <c r="CP60" s="15"/>
      <c r="CS60" s="15"/>
      <c r="CV60" s="15"/>
      <c r="CY60" s="15"/>
      <c r="DE60" s="15"/>
      <c r="DF60" s="15"/>
      <c r="DH60" s="15"/>
      <c r="DI60" s="15"/>
      <c r="DK60" s="15"/>
      <c r="DL60" s="15"/>
      <c r="DN60" s="15"/>
      <c r="DO60" s="15"/>
      <c r="DQ60" s="15"/>
      <c r="DR60" s="15"/>
      <c r="DT60" s="15"/>
      <c r="DU60" s="15"/>
      <c r="DW60" s="15"/>
      <c r="DX60" s="15"/>
      <c r="DZ60" s="15"/>
      <c r="EA60" s="15"/>
      <c r="EC60" s="15"/>
      <c r="ED60" s="15"/>
      <c r="EF60" s="15"/>
      <c r="EG60" s="15"/>
      <c r="EK60" s="15"/>
      <c r="EM60" s="15"/>
      <c r="EN60" s="15"/>
      <c r="EP60" s="15"/>
      <c r="EQ60" s="15"/>
      <c r="ES60" s="15"/>
      <c r="ET60" s="15"/>
      <c r="EW60" s="15"/>
      <c r="EZ60" s="15"/>
      <c r="FC60" s="15"/>
      <c r="FF60" s="15"/>
      <c r="FI60" s="15"/>
      <c r="FL60" s="15"/>
      <c r="FO60" s="15"/>
      <c r="FR60" s="15"/>
      <c r="FV60" s="424"/>
      <c r="FZ60" s="15"/>
      <c r="GB60" s="15"/>
      <c r="GC60" s="15"/>
      <c r="GE60" s="227"/>
      <c r="GF60" s="15"/>
      <c r="GH60" s="15"/>
      <c r="GI60" s="15"/>
      <c r="GK60" s="15"/>
      <c r="GL60" s="15"/>
      <c r="GN60" s="15"/>
      <c r="GO60" s="15"/>
      <c r="GQ60" s="227"/>
      <c r="GR60" s="15"/>
      <c r="GT60" s="15"/>
      <c r="GU60" s="15"/>
      <c r="GW60" s="15"/>
      <c r="GX60" s="15"/>
      <c r="GZ60" s="15"/>
      <c r="HE60" s="15">
        <v>5000</v>
      </c>
    </row>
    <row r="61" spans="1:214" outlineLevel="1">
      <c r="A61" s="1" t="s">
        <v>61</v>
      </c>
      <c r="B61" s="1" t="s">
        <v>197</v>
      </c>
      <c r="C61" s="4" t="s">
        <v>198</v>
      </c>
      <c r="D61" s="43"/>
      <c r="E61" s="34"/>
      <c r="F61" s="43"/>
      <c r="G61" s="34"/>
      <c r="H61" s="46"/>
      <c r="I61" s="36"/>
      <c r="J61" s="14"/>
      <c r="M61" s="17"/>
      <c r="N61" s="17"/>
      <c r="T61" s="157"/>
      <c r="U61" s="16"/>
      <c r="Y61" s="118"/>
      <c r="AB61" s="185"/>
      <c r="AC61" s="187"/>
      <c r="AD61" s="187"/>
      <c r="AF61" s="182"/>
      <c r="AH61" s="15"/>
      <c r="AI61" s="17"/>
      <c r="AS61" s="15"/>
      <c r="AV61" s="15"/>
      <c r="AX61" s="15"/>
      <c r="AY61" s="15"/>
      <c r="BB61" s="15"/>
      <c r="BD61" s="15"/>
      <c r="BE61" s="15"/>
      <c r="BG61" s="15"/>
      <c r="BH61" s="15"/>
      <c r="BK61" s="235"/>
      <c r="BM61" s="15"/>
      <c r="BN61" s="235"/>
      <c r="BO61" s="235"/>
      <c r="BQ61" s="15"/>
      <c r="BR61" s="15"/>
      <c r="BT61" s="15"/>
      <c r="BU61" s="15"/>
      <c r="BW61" s="15"/>
      <c r="BX61" s="15"/>
      <c r="BZ61" s="15"/>
      <c r="CA61" s="15"/>
      <c r="CC61" s="15"/>
      <c r="CD61" s="15"/>
      <c r="CF61" s="15"/>
      <c r="CG61" s="15"/>
      <c r="CI61" s="15"/>
      <c r="CJ61" s="15"/>
      <c r="CM61" s="15"/>
      <c r="CP61" s="15"/>
      <c r="CS61" s="15"/>
      <c r="CV61" s="15"/>
      <c r="CY61" s="15"/>
      <c r="DE61" s="15"/>
      <c r="DF61" s="15"/>
      <c r="DH61" s="15"/>
      <c r="DI61" s="15"/>
      <c r="DK61" s="15"/>
      <c r="DL61" s="15"/>
      <c r="DN61" s="15"/>
      <c r="DO61" s="15"/>
      <c r="DQ61" s="15"/>
      <c r="DR61" s="15"/>
      <c r="DT61" s="15"/>
      <c r="DU61" s="15"/>
      <c r="DW61" s="15"/>
      <c r="DX61" s="15"/>
      <c r="DZ61" s="15"/>
      <c r="EA61" s="15"/>
      <c r="EC61" s="15"/>
      <c r="ED61" s="15"/>
      <c r="EF61" s="15"/>
      <c r="EG61" s="15"/>
      <c r="EK61" s="15"/>
      <c r="EM61" s="15"/>
      <c r="EN61" s="15"/>
      <c r="EP61" s="15"/>
      <c r="EQ61" s="15"/>
      <c r="ES61" s="15"/>
      <c r="ET61" s="15"/>
      <c r="EW61" s="15"/>
      <c r="EZ61" s="15"/>
      <c r="FC61" s="15"/>
      <c r="FF61" s="15"/>
      <c r="FI61" s="15"/>
      <c r="FL61" s="15"/>
      <c r="FO61" s="15"/>
      <c r="FR61" s="15"/>
      <c r="FV61" s="424"/>
      <c r="FZ61" s="15"/>
      <c r="GB61" s="15"/>
      <c r="GC61" s="15"/>
      <c r="GE61" s="227"/>
      <c r="GF61" s="15"/>
      <c r="GH61" s="15"/>
      <c r="GI61" s="15"/>
      <c r="GK61" s="15"/>
      <c r="GL61" s="15"/>
      <c r="GN61" s="15"/>
      <c r="GO61" s="15"/>
      <c r="GQ61" s="227"/>
      <c r="GR61" s="15"/>
      <c r="GT61" s="15"/>
      <c r="GU61" s="15"/>
      <c r="GW61" s="15"/>
      <c r="GX61" s="15"/>
      <c r="GZ61" s="15"/>
    </row>
    <row r="62" spans="1:214" outlineLevel="1">
      <c r="A62" s="1" t="s">
        <v>61</v>
      </c>
      <c r="B62" s="2" t="s">
        <v>208</v>
      </c>
      <c r="C62" s="4" t="s">
        <v>327</v>
      </c>
      <c r="D62" s="43"/>
      <c r="E62" s="34"/>
      <c r="F62" s="43"/>
      <c r="G62" s="34"/>
      <c r="H62" s="46"/>
      <c r="I62" s="36"/>
      <c r="J62" s="14"/>
      <c r="M62" s="17"/>
      <c r="N62" s="17"/>
      <c r="T62" s="157"/>
      <c r="U62" s="16"/>
      <c r="Y62" s="118"/>
      <c r="AB62" s="185"/>
      <c r="AC62" s="187"/>
      <c r="AD62" s="187"/>
      <c r="AF62" s="182"/>
      <c r="AH62" s="15"/>
      <c r="AI62" s="17"/>
      <c r="AS62" s="15"/>
      <c r="AV62" s="15"/>
      <c r="AX62" s="15"/>
      <c r="AY62" s="15"/>
      <c r="BB62" s="15"/>
      <c r="BD62" s="15"/>
      <c r="BE62" s="15"/>
      <c r="BG62" s="15"/>
      <c r="BH62" s="15"/>
      <c r="BK62" s="235"/>
      <c r="BM62" s="15"/>
      <c r="BN62" s="235"/>
      <c r="BO62" s="235"/>
      <c r="BQ62" s="15"/>
      <c r="BR62" s="15"/>
      <c r="BT62" s="15"/>
      <c r="BU62" s="15"/>
      <c r="BW62" s="15"/>
      <c r="BX62" s="15"/>
      <c r="BZ62" s="15"/>
      <c r="CA62" s="15"/>
      <c r="CC62" s="15"/>
      <c r="CD62" s="15"/>
      <c r="CF62" s="15"/>
      <c r="CG62" s="15"/>
      <c r="CI62" s="15"/>
      <c r="CJ62" s="15"/>
      <c r="CM62" s="15"/>
      <c r="CP62" s="15"/>
      <c r="CS62" s="15"/>
      <c r="CV62" s="15"/>
      <c r="CY62" s="15"/>
      <c r="DE62" s="15"/>
      <c r="DF62" s="15"/>
      <c r="DH62" s="15"/>
      <c r="DI62" s="15"/>
      <c r="DK62" s="15"/>
      <c r="DL62" s="15"/>
      <c r="DN62" s="15"/>
      <c r="DO62" s="15"/>
      <c r="DQ62" s="15"/>
      <c r="DR62" s="15"/>
      <c r="DT62" s="15"/>
      <c r="DU62" s="15"/>
      <c r="DW62" s="15"/>
      <c r="DX62" s="15"/>
      <c r="DZ62" s="15"/>
      <c r="EA62" s="15"/>
      <c r="EC62" s="15"/>
      <c r="ED62" s="15"/>
      <c r="EF62" s="15"/>
      <c r="EG62" s="15"/>
      <c r="EK62" s="15">
        <f>169400+888140</f>
        <v>1057540</v>
      </c>
      <c r="EM62" s="15"/>
      <c r="EN62" s="15">
        <f>EK62+EM62</f>
        <v>1057540</v>
      </c>
      <c r="EP62" s="15"/>
      <c r="EQ62" s="15">
        <f>EN62+EP62</f>
        <v>1057540</v>
      </c>
      <c r="ES62" s="15"/>
      <c r="ET62" s="15">
        <f>EQ62+ES62</f>
        <v>1057540</v>
      </c>
      <c r="EV62" s="227">
        <v>-44000</v>
      </c>
      <c r="EW62" s="15">
        <f>ET62+EV62</f>
        <v>1013540</v>
      </c>
      <c r="EZ62" s="15">
        <f>EW62+EY62</f>
        <v>1013540</v>
      </c>
      <c r="FC62" s="15">
        <f>EZ62+FB62</f>
        <v>1013540</v>
      </c>
      <c r="FE62" s="227">
        <v>-10000</v>
      </c>
      <c r="FF62" s="15">
        <f>FC62+FE62</f>
        <v>1003540</v>
      </c>
      <c r="FH62" s="227">
        <v>-30000</v>
      </c>
      <c r="FI62" s="15">
        <f>FF62+FH62</f>
        <v>973540</v>
      </c>
      <c r="FK62" s="227">
        <v>70080</v>
      </c>
      <c r="FL62" s="15">
        <f>FI62+FK62</f>
        <v>1043620</v>
      </c>
      <c r="FO62" s="15">
        <f>FL62+FN62</f>
        <v>1043620</v>
      </c>
      <c r="FR62" s="15">
        <v>1043620</v>
      </c>
      <c r="FT62" s="15">
        <v>985908</v>
      </c>
      <c r="FV62" s="424">
        <v>460000</v>
      </c>
      <c r="FW62" s="235">
        <f t="shared" ref="FW62" si="138">FV62/FT62</f>
        <v>0.46657497454123509</v>
      </c>
      <c r="FZ62" s="15">
        <f>FV62+FY62</f>
        <v>460000</v>
      </c>
      <c r="GB62" s="15"/>
      <c r="GC62" s="15">
        <f>FZ62+GB62</f>
        <v>460000</v>
      </c>
      <c r="GE62" s="346">
        <f>Rozpis_Příjmy!EM31+100000+120136+8*5000+8*6000+229048</f>
        <v>19466732.550000001</v>
      </c>
      <c r="GF62" s="189">
        <f>GC62+GE62</f>
        <v>19926732.550000001</v>
      </c>
      <c r="GH62" s="15"/>
      <c r="GI62" s="15">
        <f>GF62+GH62</f>
        <v>19926732.550000001</v>
      </c>
      <c r="GK62" s="15"/>
      <c r="GL62" s="15">
        <f>GI62+GK62</f>
        <v>19926732.550000001</v>
      </c>
      <c r="GN62" s="15"/>
      <c r="GO62" s="15">
        <f>GL62+GN62</f>
        <v>19926732.550000001</v>
      </c>
      <c r="GQ62" s="15"/>
      <c r="GR62" s="15">
        <f>GO62+GQ62</f>
        <v>19926732.550000001</v>
      </c>
      <c r="GT62" s="15"/>
      <c r="GU62" s="15">
        <f>GR62+GT62</f>
        <v>19926732.550000001</v>
      </c>
      <c r="GW62" s="227">
        <v>-26000</v>
      </c>
      <c r="GX62" s="15">
        <f t="shared" si="131"/>
        <v>19900732.550000001</v>
      </c>
      <c r="GZ62" s="15"/>
      <c r="HA62" s="189">
        <f t="shared" si="132"/>
        <v>19900732.550000001</v>
      </c>
      <c r="HC62" s="189">
        <v>13362912.68</v>
      </c>
      <c r="HE62" s="15">
        <f>2226868.77*1.21+586208.7+230000+400000</f>
        <v>3910719.9117000001</v>
      </c>
      <c r="HF62" s="235">
        <f>HE62/HC62</f>
        <v>0.29265475314772471</v>
      </c>
    </row>
    <row r="63" spans="1:214" outlineLevel="1">
      <c r="A63" s="1" t="s">
        <v>61</v>
      </c>
      <c r="B63" s="1" t="s">
        <v>563</v>
      </c>
      <c r="C63" s="4" t="s">
        <v>564</v>
      </c>
      <c r="D63" s="43"/>
      <c r="E63" s="34"/>
      <c r="F63" s="43"/>
      <c r="G63" s="34"/>
      <c r="H63" s="46"/>
      <c r="I63" s="36"/>
      <c r="J63" s="14"/>
      <c r="M63" s="17"/>
      <c r="N63" s="17"/>
      <c r="T63" s="157"/>
      <c r="U63" s="16"/>
      <c r="Y63" s="118"/>
      <c r="AB63" s="185"/>
      <c r="AC63" s="187"/>
      <c r="AD63" s="187"/>
      <c r="AF63" s="182"/>
      <c r="AH63" s="15"/>
      <c r="AI63" s="17"/>
      <c r="AS63" s="15"/>
      <c r="AV63" s="15"/>
      <c r="AX63" s="15"/>
      <c r="AY63" s="15"/>
      <c r="BB63" s="15"/>
      <c r="BD63" s="15"/>
      <c r="BE63" s="15"/>
      <c r="BG63" s="15"/>
      <c r="BH63" s="15"/>
      <c r="BK63" s="235"/>
      <c r="BM63" s="15"/>
      <c r="BN63" s="235"/>
      <c r="BO63" s="235"/>
      <c r="BQ63" s="15"/>
      <c r="BR63" s="15"/>
      <c r="BT63" s="15"/>
      <c r="BU63" s="15"/>
      <c r="BW63" s="15"/>
      <c r="BX63" s="15"/>
      <c r="BZ63" s="15"/>
      <c r="CA63" s="15"/>
      <c r="CC63" s="15"/>
      <c r="CD63" s="15"/>
      <c r="CF63" s="15"/>
      <c r="CG63" s="15"/>
      <c r="CI63" s="15"/>
      <c r="CJ63" s="15"/>
      <c r="CM63" s="15"/>
      <c r="CP63" s="15"/>
      <c r="CS63" s="15"/>
      <c r="CV63" s="15"/>
      <c r="CY63" s="15"/>
      <c r="DE63" s="15"/>
      <c r="DF63" s="15"/>
      <c r="DH63" s="15"/>
      <c r="DI63" s="15"/>
      <c r="DK63" s="15"/>
      <c r="DL63" s="15"/>
      <c r="DN63" s="15"/>
      <c r="DO63" s="15"/>
      <c r="DQ63" s="15"/>
      <c r="DR63" s="15"/>
      <c r="DT63" s="15"/>
      <c r="DU63" s="15"/>
      <c r="DW63" s="15"/>
      <c r="DX63" s="15"/>
      <c r="DZ63" s="15"/>
      <c r="EA63" s="15"/>
      <c r="EC63" s="15"/>
      <c r="ED63" s="15"/>
      <c r="EF63" s="15"/>
      <c r="EG63" s="15"/>
      <c r="EK63" s="15"/>
      <c r="EM63" s="15"/>
      <c r="EN63" s="15"/>
      <c r="EP63" s="15"/>
      <c r="EQ63" s="15"/>
      <c r="ES63" s="15"/>
      <c r="ET63" s="15"/>
      <c r="EV63" s="227"/>
      <c r="EW63" s="15"/>
      <c r="EZ63" s="15"/>
      <c r="FC63" s="15"/>
      <c r="FE63" s="227"/>
      <c r="FF63" s="15"/>
      <c r="FH63" s="227"/>
      <c r="FI63" s="15"/>
      <c r="FK63" s="227"/>
      <c r="FL63" s="15"/>
      <c r="FO63" s="15"/>
      <c r="FR63" s="15"/>
      <c r="FV63" s="424"/>
      <c r="FW63" s="235"/>
      <c r="FZ63" s="15"/>
      <c r="GB63" s="15"/>
      <c r="GC63" s="15"/>
      <c r="GE63" s="346"/>
      <c r="GF63" s="189"/>
      <c r="GH63" s="15"/>
      <c r="GI63" s="15"/>
      <c r="GK63" s="15"/>
      <c r="GL63" s="15"/>
      <c r="GN63" s="15"/>
      <c r="GO63" s="15"/>
      <c r="GQ63" s="15"/>
      <c r="GR63" s="15"/>
      <c r="GT63" s="15"/>
      <c r="GU63" s="15"/>
      <c r="GW63" s="227"/>
      <c r="GX63" s="15"/>
      <c r="GZ63" s="15"/>
      <c r="HE63" s="15">
        <v>200000</v>
      </c>
      <c r="HF63" s="235"/>
    </row>
    <row r="64" spans="1:214" outlineLevel="1">
      <c r="A64" s="1" t="s">
        <v>61</v>
      </c>
      <c r="B64" s="4" t="s">
        <v>46</v>
      </c>
      <c r="C64" s="4" t="s">
        <v>136</v>
      </c>
      <c r="D64" s="43">
        <v>60000</v>
      </c>
      <c r="E64" s="34">
        <v>16</v>
      </c>
      <c r="F64" s="43">
        <v>9600</v>
      </c>
      <c r="G64" s="34">
        <v>100</v>
      </c>
      <c r="H64" s="46">
        <v>9600</v>
      </c>
      <c r="I64" s="36"/>
      <c r="J64" s="14"/>
      <c r="Y64" s="118"/>
      <c r="AF64" s="182"/>
      <c r="AH64" s="15"/>
      <c r="AX64" s="15"/>
      <c r="BD64" s="15"/>
      <c r="BG64" s="15"/>
      <c r="DE64" s="15"/>
      <c r="DH64" s="15"/>
      <c r="DK64" s="15"/>
      <c r="DN64" s="15"/>
      <c r="DQ64" s="15"/>
      <c r="DT64" s="15"/>
      <c r="DW64" s="15"/>
      <c r="DZ64" s="15"/>
      <c r="EC64" s="15"/>
      <c r="EF64" s="15"/>
      <c r="EK64" s="15"/>
      <c r="EM64" s="15"/>
      <c r="EP64" s="15"/>
      <c r="ES64" s="15"/>
      <c r="FW64" s="235" t="e">
        <f t="shared" ref="FW64" si="139">FV64/FT64</f>
        <v>#DIV/0!</v>
      </c>
      <c r="GB64" s="15"/>
      <c r="GE64" s="15"/>
      <c r="GH64" s="15"/>
      <c r="GK64" s="15"/>
      <c r="GN64" s="15"/>
      <c r="GQ64" s="15"/>
      <c r="GT64" s="15"/>
      <c r="GW64" s="15"/>
      <c r="GZ64" s="15"/>
      <c r="HF64" s="235" t="e">
        <f>HE64/HC64</f>
        <v>#DIV/0!</v>
      </c>
    </row>
    <row r="65" spans="1:214" outlineLevel="1">
      <c r="A65" s="1" t="s">
        <v>137</v>
      </c>
      <c r="B65" s="1" t="s">
        <v>134</v>
      </c>
      <c r="C65" s="4" t="s">
        <v>135</v>
      </c>
      <c r="D65" s="43">
        <v>152700</v>
      </c>
      <c r="E65" s="34">
        <v>0</v>
      </c>
      <c r="F65" s="43">
        <v>152700</v>
      </c>
      <c r="G65" s="34">
        <v>0</v>
      </c>
      <c r="H65" s="46">
        <v>0</v>
      </c>
      <c r="I65" s="36">
        <v>0</v>
      </c>
      <c r="J65" s="14"/>
      <c r="L65" s="118">
        <v>0</v>
      </c>
      <c r="Y65" s="118"/>
      <c r="AF65" s="182"/>
      <c r="AH65" s="15"/>
      <c r="AX65" s="15"/>
      <c r="BD65" s="15"/>
      <c r="BG65" s="15"/>
      <c r="DE65" s="15"/>
      <c r="DH65" s="15"/>
      <c r="DK65" s="15"/>
      <c r="DN65" s="15"/>
      <c r="DQ65" s="15"/>
      <c r="DT65" s="15"/>
      <c r="DW65" s="15"/>
      <c r="DZ65" s="15"/>
      <c r="EC65" s="15"/>
      <c r="EF65" s="15"/>
      <c r="EK65" s="15"/>
      <c r="EM65" s="15"/>
      <c r="EP65" s="15"/>
      <c r="ES65" s="15"/>
      <c r="GB65" s="15"/>
      <c r="GE65" s="15"/>
      <c r="GH65" s="15"/>
      <c r="GK65" s="15"/>
      <c r="GN65" s="15"/>
      <c r="GQ65" s="15"/>
      <c r="GT65" s="15"/>
      <c r="GW65" s="15"/>
      <c r="GZ65" s="15"/>
    </row>
    <row r="66" spans="1:214" outlineLevel="1">
      <c r="A66" s="1" t="s">
        <v>137</v>
      </c>
      <c r="B66" s="4" t="s">
        <v>46</v>
      </c>
      <c r="C66" s="4" t="s">
        <v>138</v>
      </c>
      <c r="D66" s="43">
        <v>152700</v>
      </c>
      <c r="E66" s="34">
        <v>0</v>
      </c>
      <c r="F66" s="43">
        <v>152700</v>
      </c>
      <c r="G66" s="34">
        <v>0</v>
      </c>
      <c r="H66" s="46">
        <v>0</v>
      </c>
      <c r="I66" s="36"/>
      <c r="J66" s="14"/>
      <c r="Y66" s="118"/>
      <c r="AF66" s="182"/>
      <c r="AH66" s="15"/>
      <c r="AX66" s="15"/>
      <c r="BD66" s="15"/>
      <c r="BG66" s="15"/>
      <c r="DE66" s="15"/>
      <c r="DH66" s="15"/>
      <c r="DK66" s="15"/>
      <c r="DN66" s="15"/>
      <c r="DQ66" s="15"/>
      <c r="DT66" s="15"/>
      <c r="DW66" s="15"/>
      <c r="DZ66" s="15"/>
      <c r="EC66" s="15"/>
      <c r="EF66" s="15"/>
      <c r="EK66" s="15"/>
      <c r="EM66" s="15"/>
      <c r="EP66" s="15"/>
      <c r="ES66" s="15"/>
      <c r="GB66" s="15"/>
      <c r="GE66" s="15"/>
      <c r="GH66" s="15"/>
      <c r="GK66" s="15"/>
      <c r="GN66" s="15"/>
      <c r="GQ66" s="15"/>
      <c r="GT66" s="15"/>
      <c r="GW66" s="15"/>
      <c r="GZ66" s="15"/>
    </row>
    <row r="67" spans="1:214" outlineLevel="1">
      <c r="A67" s="1" t="s">
        <v>483</v>
      </c>
      <c r="B67" s="4" t="s">
        <v>484</v>
      </c>
      <c r="C67" s="4" t="s">
        <v>485</v>
      </c>
      <c r="D67" s="43"/>
      <c r="E67" s="34"/>
      <c r="F67" s="43"/>
      <c r="G67" s="34"/>
      <c r="H67" s="46"/>
      <c r="I67" s="36"/>
      <c r="J67" s="14"/>
      <c r="Y67" s="118"/>
      <c r="AF67" s="182"/>
      <c r="AH67" s="15"/>
      <c r="AX67" s="15"/>
      <c r="BA67" s="227">
        <v>4000</v>
      </c>
      <c r="BB67" s="15">
        <v>0</v>
      </c>
      <c r="BD67" s="15">
        <v>4000</v>
      </c>
      <c r="BE67" s="15">
        <f>BB67+BD67</f>
        <v>4000</v>
      </c>
      <c r="BG67" s="15"/>
      <c r="BH67" s="15">
        <f>BE67+BG67</f>
        <v>4000</v>
      </c>
      <c r="BJ67" s="15">
        <v>4000</v>
      </c>
      <c r="BK67" s="235">
        <f t="shared" ref="BK67" si="140">BJ67/BH67</f>
        <v>1</v>
      </c>
      <c r="BM67" s="290">
        <v>4000</v>
      </c>
      <c r="BN67" s="235">
        <f t="shared" ref="BN67" si="141">BM67/BJ67</f>
        <v>1</v>
      </c>
      <c r="BO67" s="235">
        <f t="shared" ref="BO67" si="142">BM67/BH67</f>
        <v>1</v>
      </c>
      <c r="BQ67" s="15"/>
      <c r="BR67" s="15">
        <f>BM67+BQ67</f>
        <v>4000</v>
      </c>
      <c r="BT67" s="15"/>
      <c r="BU67" s="15">
        <f>BR67+BT67</f>
        <v>4000</v>
      </c>
      <c r="BW67" s="15"/>
      <c r="BX67" s="15">
        <f>BU67+BW67</f>
        <v>4000</v>
      </c>
      <c r="BZ67" s="15"/>
      <c r="CA67" s="15">
        <f>BX67+BZ67</f>
        <v>4000</v>
      </c>
      <c r="CC67" s="15"/>
      <c r="CD67" s="15">
        <f>CA67+CC67</f>
        <v>4000</v>
      </c>
      <c r="CF67" s="15"/>
      <c r="CG67" s="15">
        <f>CD67+CF67</f>
        <v>4000</v>
      </c>
      <c r="CI67" s="15"/>
      <c r="CJ67" s="15">
        <f>CG67+CI67</f>
        <v>4000</v>
      </c>
      <c r="CM67" s="15">
        <f>CJ67+CL67</f>
        <v>4000</v>
      </c>
      <c r="CP67" s="15">
        <f>CM67+CO67</f>
        <v>4000</v>
      </c>
      <c r="CS67" s="15">
        <f>CP67+CR67</f>
        <v>4000</v>
      </c>
      <c r="CV67" s="15">
        <f>CS67+CU67</f>
        <v>4000</v>
      </c>
      <c r="CY67" s="15">
        <f>CV67+CX67</f>
        <v>4000</v>
      </c>
      <c r="DA67" s="15">
        <v>4000</v>
      </c>
      <c r="DC67" s="15">
        <v>4000</v>
      </c>
      <c r="DE67" s="15"/>
      <c r="DF67" s="15">
        <f>DC67+DE67</f>
        <v>4000</v>
      </c>
      <c r="DH67" s="15"/>
      <c r="DI67" s="15">
        <f>DF67+DH67</f>
        <v>4000</v>
      </c>
      <c r="DK67" s="15"/>
      <c r="DL67" s="15">
        <f>DI67+DK67</f>
        <v>4000</v>
      </c>
      <c r="DN67" s="15"/>
      <c r="DO67" s="15">
        <f>DL67+DN67</f>
        <v>4000</v>
      </c>
      <c r="DQ67" s="15"/>
      <c r="DR67" s="15">
        <f>DO67+DQ67</f>
        <v>4000</v>
      </c>
      <c r="DT67" s="15"/>
      <c r="DU67" s="15">
        <f>DR67+DT67</f>
        <v>4000</v>
      </c>
      <c r="DW67" s="15"/>
      <c r="DX67" s="15">
        <f>DU67+DW67</f>
        <v>4000</v>
      </c>
      <c r="DZ67" s="15"/>
      <c r="EA67" s="15">
        <f>DX67+DZ67</f>
        <v>4000</v>
      </c>
      <c r="EC67" s="15"/>
      <c r="ED67" s="15">
        <f>EA67+EC67</f>
        <v>4000</v>
      </c>
      <c r="EF67" s="15"/>
      <c r="EG67" s="15">
        <f>ED67+EF67</f>
        <v>4000</v>
      </c>
      <c r="EI67" s="15">
        <v>4000</v>
      </c>
      <c r="EK67" s="15">
        <v>4000</v>
      </c>
      <c r="EM67" s="15"/>
      <c r="EN67" s="15">
        <f>EK67+EM67</f>
        <v>4000</v>
      </c>
      <c r="EP67" s="15"/>
      <c r="EQ67" s="15">
        <f>EN67+EP67</f>
        <v>4000</v>
      </c>
      <c r="ES67" s="15"/>
      <c r="ET67" s="15">
        <f>EQ67+ES67</f>
        <v>4000</v>
      </c>
      <c r="EW67" s="15">
        <f>ET67+EV67</f>
        <v>4000</v>
      </c>
      <c r="EZ67" s="15">
        <f>EW67+EY67</f>
        <v>4000</v>
      </c>
      <c r="FC67" s="15">
        <f>EZ67+FB67</f>
        <v>4000</v>
      </c>
      <c r="FF67" s="15">
        <f>FC67+FE67</f>
        <v>4000</v>
      </c>
      <c r="FI67" s="15">
        <f>FF67+FH67</f>
        <v>4000</v>
      </c>
      <c r="FL67" s="15">
        <f>FI67+FK67</f>
        <v>4000</v>
      </c>
      <c r="FO67" s="15">
        <f>FL67+FN67</f>
        <v>4000</v>
      </c>
      <c r="FR67" s="15">
        <v>4000</v>
      </c>
      <c r="FT67" s="15">
        <v>4000</v>
      </c>
      <c r="FV67" s="15">
        <v>4000</v>
      </c>
      <c r="FW67" s="235">
        <f t="shared" ref="FW67" si="143">FV67/FT67</f>
        <v>1</v>
      </c>
      <c r="FZ67" s="15">
        <f>FV67+FY67</f>
        <v>4000</v>
      </c>
      <c r="GB67" s="15"/>
      <c r="GC67" s="15">
        <f>FZ67+GB67</f>
        <v>4000</v>
      </c>
      <c r="GE67" s="15"/>
      <c r="GF67" s="15">
        <f>GC67+GE67</f>
        <v>4000</v>
      </c>
      <c r="GH67" s="15"/>
      <c r="GI67" s="15">
        <f>GF67+GH67</f>
        <v>4000</v>
      </c>
      <c r="GK67" s="15"/>
      <c r="GL67" s="15">
        <f>GI67+GK67</f>
        <v>4000</v>
      </c>
      <c r="GN67" s="15"/>
      <c r="GO67" s="15">
        <f>GL67+GN67</f>
        <v>4000</v>
      </c>
      <c r="GQ67" s="15"/>
      <c r="GR67" s="15">
        <f>GO67+GQ67</f>
        <v>4000</v>
      </c>
      <c r="GT67" s="15"/>
      <c r="GU67" s="15">
        <f>GR67+GT67</f>
        <v>4000</v>
      </c>
      <c r="GW67" s="15"/>
      <c r="GX67" s="15">
        <f>GU67+GW67</f>
        <v>4000</v>
      </c>
      <c r="GZ67" s="15"/>
      <c r="HA67" s="189">
        <f>GX67+GZ67</f>
        <v>4000</v>
      </c>
      <c r="HC67" s="189">
        <v>4000</v>
      </c>
      <c r="HE67" s="15">
        <v>4000</v>
      </c>
      <c r="HF67" s="235">
        <f>HE67/HC67</f>
        <v>1</v>
      </c>
    </row>
    <row r="68" spans="1:214" outlineLevel="1">
      <c r="A68" s="1" t="s">
        <v>483</v>
      </c>
      <c r="B68" s="4" t="s">
        <v>46</v>
      </c>
      <c r="C68" s="4" t="s">
        <v>486</v>
      </c>
      <c r="D68" s="43"/>
      <c r="E68" s="34"/>
      <c r="F68" s="43"/>
      <c r="G68" s="34"/>
      <c r="H68" s="46"/>
      <c r="I68" s="36"/>
      <c r="J68" s="14"/>
      <c r="Y68" s="118"/>
      <c r="AF68" s="182"/>
      <c r="AH68" s="15"/>
      <c r="AX68" s="15"/>
      <c r="BD68" s="15"/>
      <c r="BG68" s="15"/>
      <c r="DE68" s="15"/>
      <c r="DH68" s="15"/>
      <c r="DK68" s="15"/>
      <c r="DN68" s="15"/>
      <c r="DQ68" s="15"/>
      <c r="DT68" s="15"/>
      <c r="DW68" s="15"/>
      <c r="DZ68" s="15"/>
      <c r="EC68" s="15"/>
      <c r="EF68" s="15"/>
      <c r="EK68" s="15"/>
      <c r="EM68" s="15"/>
      <c r="EP68" s="15"/>
      <c r="ES68" s="15"/>
      <c r="GB68" s="15"/>
      <c r="GE68" s="15"/>
      <c r="GH68" s="15"/>
      <c r="GK68" s="15"/>
      <c r="GN68" s="15"/>
      <c r="GQ68" s="15"/>
      <c r="GT68" s="15"/>
      <c r="GW68" s="15"/>
      <c r="GZ68" s="15"/>
    </row>
    <row r="69" spans="1:214" outlineLevel="1">
      <c r="A69" s="1" t="s">
        <v>139</v>
      </c>
      <c r="B69" s="4" t="s">
        <v>48</v>
      </c>
      <c r="C69" s="4" t="s">
        <v>140</v>
      </c>
      <c r="D69" s="43">
        <v>212700</v>
      </c>
      <c r="E69" s="34">
        <v>4.51</v>
      </c>
      <c r="F69" s="43">
        <v>162300</v>
      </c>
      <c r="G69" s="34">
        <v>5.91</v>
      </c>
      <c r="H69" s="46">
        <v>9600</v>
      </c>
      <c r="I69" s="36"/>
      <c r="J69" s="14"/>
      <c r="Y69" s="118"/>
      <c r="AF69" s="182"/>
      <c r="AH69" s="15"/>
      <c r="AX69" s="15"/>
      <c r="BD69" s="15"/>
      <c r="BG69" s="15"/>
      <c r="DE69" s="15"/>
      <c r="DH69" s="15"/>
      <c r="DK69" s="15"/>
      <c r="DN69" s="15"/>
      <c r="DQ69" s="15"/>
      <c r="DT69" s="15"/>
      <c r="DW69" s="15"/>
      <c r="DZ69" s="15"/>
      <c r="EC69" s="15"/>
      <c r="EF69" s="15"/>
      <c r="EK69" s="15"/>
      <c r="EM69" s="15"/>
      <c r="EP69" s="15"/>
      <c r="ES69" s="15"/>
      <c r="GB69" s="15"/>
      <c r="GE69" s="15"/>
      <c r="GH69" s="15"/>
      <c r="GK69" s="15"/>
      <c r="GN69" s="15"/>
      <c r="GQ69" s="15"/>
      <c r="GT69" s="15"/>
      <c r="GW69" s="15"/>
      <c r="GZ69" s="15"/>
    </row>
    <row r="70" spans="1:214" ht="19.5" customHeight="1" thickBot="1">
      <c r="A70" s="54" t="s">
        <v>139</v>
      </c>
      <c r="B70" s="55" t="s">
        <v>316</v>
      </c>
      <c r="C70" s="56" t="s">
        <v>140</v>
      </c>
      <c r="D70" s="57">
        <f>D48+D65</f>
        <v>212700</v>
      </c>
      <c r="E70" s="58"/>
      <c r="F70" s="57">
        <f>F48+F65</f>
        <v>162300</v>
      </c>
      <c r="G70" s="58"/>
      <c r="H70" s="57"/>
      <c r="I70" s="57">
        <f>I48+I65</f>
        <v>9600</v>
      </c>
      <c r="J70" s="138" t="e">
        <f>I70/$I$350</f>
        <v>#REF!</v>
      </c>
      <c r="K70" s="60"/>
      <c r="L70" s="122">
        <f>L48+L65</f>
        <v>10000</v>
      </c>
      <c r="M70" s="61">
        <f>L70/F70-1</f>
        <v>-0.93838570548367217</v>
      </c>
      <c r="N70" s="61">
        <f>L70/I70-1</f>
        <v>4.1666666666666741E-2</v>
      </c>
      <c r="O70" s="17">
        <f>L70/$L$350</f>
        <v>2.3201856579152789E-3</v>
      </c>
      <c r="P70" s="17"/>
      <c r="Q70" s="122">
        <f>Q48</f>
        <v>10000</v>
      </c>
      <c r="R70" s="122">
        <f>R48</f>
        <v>0</v>
      </c>
      <c r="S70" s="122">
        <f>S48</f>
        <v>10000</v>
      </c>
      <c r="T70" s="122">
        <f>T48</f>
        <v>0</v>
      </c>
      <c r="U70" s="155">
        <f>S70/Q70-1</f>
        <v>0</v>
      </c>
      <c r="Y70" s="122">
        <f>Y48</f>
        <v>10000</v>
      </c>
      <c r="AA70" s="122">
        <f>AA48</f>
        <v>12000</v>
      </c>
      <c r="AB70" s="122">
        <f>AB48</f>
        <v>2000</v>
      </c>
      <c r="AE70" s="122">
        <f>AE48</f>
        <v>12000</v>
      </c>
      <c r="AF70" s="182"/>
      <c r="AH70" s="122">
        <f>AH48</f>
        <v>0</v>
      </c>
      <c r="AI70" s="17">
        <f t="shared" ref="AI70:AI72" si="144">AH70/AE70</f>
        <v>0</v>
      </c>
      <c r="AK70" s="122">
        <f>AK48</f>
        <v>12000</v>
      </c>
      <c r="AL70" s="193">
        <f>AK70/L70</f>
        <v>1.2</v>
      </c>
      <c r="AM70" s="17">
        <f>AK70/AE70</f>
        <v>1</v>
      </c>
      <c r="AN70" s="17" t="e">
        <f>AK70/AH70</f>
        <v>#DIV/0!</v>
      </c>
      <c r="AS70" s="122">
        <f>AS48</f>
        <v>12000</v>
      </c>
      <c r="AU70" s="122">
        <f>AU48</f>
        <v>0</v>
      </c>
      <c r="AV70" s="122">
        <f>AV48</f>
        <v>12000</v>
      </c>
      <c r="AX70" s="122">
        <f>AX48</f>
        <v>0</v>
      </c>
      <c r="AY70" s="122">
        <f>AY48</f>
        <v>12000</v>
      </c>
      <c r="BA70" s="122">
        <f>BA48+BA67</f>
        <v>4000</v>
      </c>
      <c r="BB70" s="122">
        <f>BB48+BB67</f>
        <v>12000</v>
      </c>
      <c r="BD70" s="122">
        <f>BD48+BD67</f>
        <v>-2000</v>
      </c>
      <c r="BE70" s="122">
        <f>BE48+BE67</f>
        <v>10000</v>
      </c>
      <c r="BG70" s="122">
        <f>BG48+BG67</f>
        <v>0</v>
      </c>
      <c r="BH70" s="122">
        <f>BH48+BH67</f>
        <v>10000</v>
      </c>
      <c r="BJ70" s="122">
        <f>BJ48+BJ67</f>
        <v>4000</v>
      </c>
      <c r="BK70" s="236">
        <f t="shared" ref="BK70" si="145">BJ70/BH70</f>
        <v>0.4</v>
      </c>
      <c r="BM70" s="122">
        <f>BM48+BM67</f>
        <v>4000</v>
      </c>
      <c r="BN70" s="236">
        <f t="shared" ref="BN70" si="146">BM70/BJ70</f>
        <v>1</v>
      </c>
      <c r="BO70" s="236">
        <f t="shared" ref="BO70" si="147">BM70/BH70</f>
        <v>0.4</v>
      </c>
      <c r="BQ70" s="122">
        <f>BQ48+BQ67</f>
        <v>0</v>
      </c>
      <c r="BR70" s="122">
        <f>BR48+BR67</f>
        <v>4000</v>
      </c>
      <c r="BT70" s="122">
        <f>BT48+BT67</f>
        <v>0</v>
      </c>
      <c r="BU70" s="122">
        <f>BU48+BU67</f>
        <v>4000</v>
      </c>
      <c r="BW70" s="122">
        <f>BW48+BW67</f>
        <v>0</v>
      </c>
      <c r="BX70" s="122">
        <f>BX48+BX67</f>
        <v>4000</v>
      </c>
      <c r="BZ70" s="122">
        <f>BZ48+BZ67</f>
        <v>0</v>
      </c>
      <c r="CA70" s="122">
        <f>CA48+CA67</f>
        <v>4000</v>
      </c>
      <c r="CC70" s="122">
        <f>CC48+CC67</f>
        <v>0</v>
      </c>
      <c r="CD70" s="122">
        <f>CD48+CD67</f>
        <v>4000</v>
      </c>
      <c r="CF70" s="122">
        <f>CF48+CF67</f>
        <v>0</v>
      </c>
      <c r="CG70" s="122">
        <f>CG48+CG67</f>
        <v>4000</v>
      </c>
      <c r="CI70" s="122">
        <f>CI48+CI67</f>
        <v>0</v>
      </c>
      <c r="CJ70" s="122">
        <f>CJ48+CJ67</f>
        <v>4000</v>
      </c>
      <c r="CL70" s="319">
        <f>CL48+CL67</f>
        <v>0</v>
      </c>
      <c r="CM70" s="122">
        <f>CM48+CM67</f>
        <v>4000</v>
      </c>
      <c r="CO70" s="122">
        <f>CO48+CO67</f>
        <v>0</v>
      </c>
      <c r="CP70" s="122">
        <f>CP48+CP67</f>
        <v>4000</v>
      </c>
      <c r="CR70" s="122">
        <f>CR48+CR67</f>
        <v>0</v>
      </c>
      <c r="CS70" s="122">
        <f>CS48+CS67</f>
        <v>4000</v>
      </c>
      <c r="CU70" s="122">
        <f>CU48+CU67</f>
        <v>0</v>
      </c>
      <c r="CV70" s="122">
        <f>CV48+CV67</f>
        <v>4000</v>
      </c>
      <c r="CX70" s="122">
        <f>CX48+CX67</f>
        <v>0</v>
      </c>
      <c r="CY70" s="402">
        <f>CY48+CY67</f>
        <v>4000</v>
      </c>
      <c r="DA70" s="402">
        <f>DA48+DA67</f>
        <v>4000</v>
      </c>
      <c r="DC70" s="402">
        <f>DC48+DC67</f>
        <v>4000</v>
      </c>
      <c r="DE70" s="122">
        <f>DE48+DE67</f>
        <v>0</v>
      </c>
      <c r="DF70" s="122">
        <f>DF48+DF67</f>
        <v>4000</v>
      </c>
      <c r="DH70" s="122">
        <f>DH48+DH67</f>
        <v>0</v>
      </c>
      <c r="DI70" s="122">
        <f>DI48+DI67</f>
        <v>4000</v>
      </c>
      <c r="DK70" s="122">
        <f>DK48+DK67</f>
        <v>0</v>
      </c>
      <c r="DL70" s="122">
        <f>DL48+DL67</f>
        <v>4000</v>
      </c>
      <c r="DN70" s="122">
        <f>DN48+DN67</f>
        <v>0</v>
      </c>
      <c r="DO70" s="122">
        <f>DO48+DO67</f>
        <v>4000</v>
      </c>
      <c r="DQ70" s="122">
        <f>DQ48+DQ67</f>
        <v>0</v>
      </c>
      <c r="DR70" s="122">
        <f>DR48+DR67</f>
        <v>4000</v>
      </c>
      <c r="DT70" s="122">
        <f>DT48+DT67</f>
        <v>0</v>
      </c>
      <c r="DU70" s="122">
        <f>DU48+DU67</f>
        <v>4000</v>
      </c>
      <c r="DW70" s="122">
        <f>DW48+DW67</f>
        <v>0</v>
      </c>
      <c r="DX70" s="122">
        <f>DX48+DX67</f>
        <v>4000</v>
      </c>
      <c r="DZ70" s="122">
        <f>DZ48+DZ67</f>
        <v>0</v>
      </c>
      <c r="EA70" s="122">
        <f>EA48+EA67</f>
        <v>4000</v>
      </c>
      <c r="EC70" s="122">
        <f>EC48+EC67</f>
        <v>0</v>
      </c>
      <c r="ED70" s="122">
        <f>ED48+ED67</f>
        <v>4000</v>
      </c>
      <c r="EF70" s="402">
        <f>EF48+EF67</f>
        <v>0</v>
      </c>
      <c r="EG70" s="402">
        <f>EG48+EG67</f>
        <v>4000</v>
      </c>
      <c r="EI70" s="402">
        <f>EI48+EI67</f>
        <v>4000</v>
      </c>
      <c r="EK70" s="122">
        <f>EK48+EK67</f>
        <v>4000</v>
      </c>
      <c r="EL70" s="377">
        <f>EK70/EI70-1</f>
        <v>0</v>
      </c>
      <c r="EM70" s="122">
        <f>EM48+EM67</f>
        <v>0</v>
      </c>
      <c r="EN70" s="122">
        <f>EN48+EN67</f>
        <v>4000</v>
      </c>
      <c r="EP70" s="122">
        <f>EP48+EP67</f>
        <v>0</v>
      </c>
      <c r="EQ70" s="122">
        <f>EQ48+EQ67</f>
        <v>4000</v>
      </c>
      <c r="ES70" s="122">
        <f>ES48+ES67</f>
        <v>0</v>
      </c>
      <c r="ET70" s="122">
        <f>ET48+ET67</f>
        <v>4000</v>
      </c>
      <c r="EV70" s="122">
        <f>EV48+EV67</f>
        <v>0</v>
      </c>
      <c r="EW70" s="122">
        <f>EW48+EW67</f>
        <v>4000</v>
      </c>
      <c r="EY70" s="122">
        <f>EY48+EY67</f>
        <v>0</v>
      </c>
      <c r="EZ70" s="122">
        <f>EZ48+EZ67</f>
        <v>4000</v>
      </c>
      <c r="FB70" s="122">
        <f>FB48+FB67</f>
        <v>0</v>
      </c>
      <c r="FC70" s="122">
        <f>FC48+FC67</f>
        <v>4000</v>
      </c>
      <c r="FE70" s="122">
        <f>FE48+FE67</f>
        <v>0</v>
      </c>
      <c r="FF70" s="122">
        <f>FF48+FF67</f>
        <v>4000</v>
      </c>
      <c r="FH70" s="122">
        <f>FH48+FH67</f>
        <v>0</v>
      </c>
      <c r="FI70" s="122">
        <f>FI48+FI67</f>
        <v>4000</v>
      </c>
      <c r="FK70" s="122">
        <f>FK48+FK67</f>
        <v>0</v>
      </c>
      <c r="FL70" s="122">
        <f>FL48+FL67</f>
        <v>4000</v>
      </c>
      <c r="FN70" s="122">
        <f>FN48+FN67</f>
        <v>0</v>
      </c>
      <c r="FO70" s="122">
        <f>FO48+FO67</f>
        <v>4000</v>
      </c>
      <c r="FQ70" s="122">
        <v>0</v>
      </c>
      <c r="FR70" s="122">
        <v>4000</v>
      </c>
      <c r="FT70" s="402">
        <f>FT48+FT67+FT53+FT65</f>
        <v>4000</v>
      </c>
      <c r="FV70" s="402">
        <f>FV48+FV67+FV53+FV65</f>
        <v>4000</v>
      </c>
      <c r="FW70" s="235">
        <f t="shared" ref="FW70:FW71" si="148">FV70/FT70</f>
        <v>1</v>
      </c>
      <c r="FY70" s="402">
        <f>FY48+FY67+FY53+FY65</f>
        <v>0</v>
      </c>
      <c r="FZ70" s="402">
        <f>FZ48+FZ67+FZ53+FZ65</f>
        <v>4000</v>
      </c>
      <c r="GB70" s="402">
        <f>GB48+GB67+GB53+GB65</f>
        <v>0</v>
      </c>
      <c r="GC70" s="402">
        <f>GC48+GC67+GC53+GC65</f>
        <v>4000</v>
      </c>
      <c r="GE70" s="402">
        <f>GE48+GE67+GE53+GE65</f>
        <v>400000</v>
      </c>
      <c r="GF70" s="402">
        <f>GF48+GF67+GF53+GF65</f>
        <v>404000</v>
      </c>
      <c r="GH70" s="402">
        <f>GH48+GH67+GH53+GH65</f>
        <v>0</v>
      </c>
      <c r="GI70" s="402">
        <f>GI48+GI67+GI53+GI65</f>
        <v>404000</v>
      </c>
      <c r="GK70" s="402">
        <f>GK48+GK67+GK53+GK65</f>
        <v>0</v>
      </c>
      <c r="GL70" s="402">
        <f>GL48+GL67+GL53+GL65</f>
        <v>404000</v>
      </c>
      <c r="GN70" s="402">
        <f>GN48+GN67+GN53+GN65</f>
        <v>0</v>
      </c>
      <c r="GO70" s="402">
        <f>GO48+GO67+GO53+GO65</f>
        <v>404000</v>
      </c>
      <c r="GQ70" s="402">
        <f>GQ48+GQ67+GQ53+GQ65+GQ58+GQ45</f>
        <v>35000</v>
      </c>
      <c r="GR70" s="402">
        <f>GR48+GR67+GR53+GR65+GR58+GR45</f>
        <v>439000</v>
      </c>
      <c r="GT70" s="402">
        <f>GT48+GT67+GT53+GT65+GT58+GT45</f>
        <v>-15000</v>
      </c>
      <c r="GU70" s="402">
        <f>GU48+GU67+GU53+GU65+GU58+GU45</f>
        <v>424000</v>
      </c>
      <c r="GW70" s="402">
        <f>GW48+GW67+GW53+GW65+GW58+GW45+GW54</f>
        <v>-15400</v>
      </c>
      <c r="GX70" s="402">
        <f>GX48+GX67+GX53+GX65+GX58+GX45+GX54</f>
        <v>408600</v>
      </c>
      <c r="GZ70" s="402">
        <f>GZ48+GZ67+GZ53+GZ65+GZ58+GZ45+GZ54+GZ55</f>
        <v>-295000</v>
      </c>
      <c r="HA70" s="433">
        <f>HA48+HA67+HA53+HA65+HA58+HA45+HA54+HA55</f>
        <v>113600</v>
      </c>
      <c r="HC70" s="402">
        <f>SUM(HC44:HC61)+HC67+HC65</f>
        <v>101290.28</v>
      </c>
      <c r="HE70" s="402">
        <f>SUM(HE44:HE61)+HE67+HE65</f>
        <v>2882298.3</v>
      </c>
      <c r="HF70" s="235">
        <f>HE70/HC70</f>
        <v>28.455823204358797</v>
      </c>
    </row>
    <row r="71" spans="1:214" ht="14.25" customHeight="1" thickTop="1" thickBot="1">
      <c r="A71" s="75" t="s">
        <v>139</v>
      </c>
      <c r="B71" s="76" t="s">
        <v>277</v>
      </c>
      <c r="C71" s="285" t="s">
        <v>140</v>
      </c>
      <c r="D71" s="323"/>
      <c r="E71" s="324"/>
      <c r="F71" s="323"/>
      <c r="G71" s="324"/>
      <c r="H71" s="323"/>
      <c r="I71" s="323"/>
      <c r="J71" s="325"/>
      <c r="K71" s="326"/>
      <c r="L71" s="327"/>
      <c r="M71" s="328"/>
      <c r="N71" s="328"/>
      <c r="O71" s="17"/>
      <c r="P71" s="17"/>
      <c r="Q71" s="327"/>
      <c r="R71" s="327"/>
      <c r="S71" s="327"/>
      <c r="T71" s="327"/>
      <c r="U71" s="155"/>
      <c r="Y71" s="327"/>
      <c r="AA71" s="327"/>
      <c r="AB71" s="327"/>
      <c r="AE71" s="327"/>
      <c r="AF71" s="182"/>
      <c r="AH71" s="327"/>
      <c r="AI71" s="17"/>
      <c r="AK71" s="327"/>
      <c r="AL71" s="193"/>
      <c r="AM71" s="17"/>
      <c r="AN71" s="17"/>
      <c r="AS71" s="327"/>
      <c r="AU71" s="327"/>
      <c r="AV71" s="327"/>
      <c r="AX71" s="327"/>
      <c r="AY71" s="327"/>
      <c r="BA71" s="327"/>
      <c r="BB71" s="327"/>
      <c r="BD71" s="327"/>
      <c r="BE71" s="327"/>
      <c r="BG71" s="327"/>
      <c r="BH71" s="327"/>
      <c r="BJ71" s="327"/>
      <c r="BK71" s="329"/>
      <c r="BM71" s="327"/>
      <c r="BN71" s="329"/>
      <c r="BO71" s="329"/>
      <c r="BQ71" s="327"/>
      <c r="BR71" s="327"/>
      <c r="BT71" s="327"/>
      <c r="BU71" s="327"/>
      <c r="BW71" s="327"/>
      <c r="BX71" s="327"/>
      <c r="BZ71" s="327"/>
      <c r="CA71" s="327"/>
      <c r="CC71" s="327"/>
      <c r="CD71" s="327"/>
      <c r="CF71" s="327"/>
      <c r="CG71" s="327"/>
      <c r="CI71" s="327"/>
      <c r="CJ71" s="327"/>
      <c r="CL71" s="121"/>
      <c r="CM71" s="327"/>
      <c r="CO71" s="327"/>
      <c r="CP71" s="327"/>
      <c r="CR71" s="327"/>
      <c r="CS71" s="327"/>
      <c r="CU71" s="327"/>
      <c r="CV71" s="327"/>
      <c r="CX71" s="327"/>
      <c r="CY71" s="124"/>
      <c r="DA71" s="124"/>
      <c r="DC71" s="124"/>
      <c r="DE71" s="327"/>
      <c r="DF71" s="327"/>
      <c r="DH71" s="327"/>
      <c r="DI71" s="327"/>
      <c r="DK71" s="327"/>
      <c r="DL71" s="327"/>
      <c r="DN71" s="327"/>
      <c r="DO71" s="327"/>
      <c r="DQ71" s="327"/>
      <c r="DR71" s="327"/>
      <c r="DT71" s="327"/>
      <c r="DU71" s="327"/>
      <c r="DW71" s="327"/>
      <c r="DX71" s="327"/>
      <c r="DZ71" s="327"/>
      <c r="EA71" s="327"/>
      <c r="EC71" s="327"/>
      <c r="ED71" s="327"/>
      <c r="EF71" s="124"/>
      <c r="EG71" s="124"/>
      <c r="EI71" s="331">
        <f>EI62</f>
        <v>0</v>
      </c>
      <c r="EK71" s="331">
        <f>EK62</f>
        <v>1057540</v>
      </c>
      <c r="EL71" s="377"/>
      <c r="EM71" s="331">
        <f>EM62</f>
        <v>0</v>
      </c>
      <c r="EN71" s="331">
        <f>EN62</f>
        <v>1057540</v>
      </c>
      <c r="EP71" s="331">
        <f>EP62</f>
        <v>0</v>
      </c>
      <c r="EQ71" s="331">
        <f>EQ62</f>
        <v>1057540</v>
      </c>
      <c r="ES71" s="331">
        <f>ES62</f>
        <v>0</v>
      </c>
      <c r="ET71" s="331">
        <f>ET62</f>
        <v>1057540</v>
      </c>
      <c r="EV71" s="331">
        <f>EV62</f>
        <v>-44000</v>
      </c>
      <c r="EW71" s="331">
        <f>EW62</f>
        <v>1013540</v>
      </c>
      <c r="EY71" s="331">
        <f>EY62</f>
        <v>0</v>
      </c>
      <c r="EZ71" s="331">
        <f>EZ62</f>
        <v>1013540</v>
      </c>
      <c r="FB71" s="331">
        <f>FB62</f>
        <v>0</v>
      </c>
      <c r="FC71" s="331">
        <f>FC62</f>
        <v>1013540</v>
      </c>
      <c r="FE71" s="331">
        <f>FE62</f>
        <v>-10000</v>
      </c>
      <c r="FF71" s="331">
        <f>FF62</f>
        <v>1003540</v>
      </c>
      <c r="FH71" s="331">
        <f>FH62</f>
        <v>-30000</v>
      </c>
      <c r="FI71" s="331">
        <f>FI62</f>
        <v>973540</v>
      </c>
      <c r="FK71" s="331">
        <f>FK62</f>
        <v>70080</v>
      </c>
      <c r="FL71" s="331">
        <f>FL62</f>
        <v>1043620</v>
      </c>
      <c r="FN71" s="331">
        <f>FN62</f>
        <v>0</v>
      </c>
      <c r="FO71" s="331">
        <f>FO62</f>
        <v>1043620</v>
      </c>
      <c r="FQ71" s="331">
        <v>0</v>
      </c>
      <c r="FR71" s="331">
        <v>1043620</v>
      </c>
      <c r="FT71" s="331">
        <f>FT62</f>
        <v>985908</v>
      </c>
      <c r="FV71" s="331">
        <f>FV62</f>
        <v>460000</v>
      </c>
      <c r="FW71" s="235">
        <f t="shared" si="148"/>
        <v>0.46657497454123509</v>
      </c>
      <c r="FY71" s="331">
        <f>FY62</f>
        <v>0</v>
      </c>
      <c r="FZ71" s="331">
        <f>FZ62</f>
        <v>460000</v>
      </c>
      <c r="GB71" s="331">
        <f>GB62</f>
        <v>0</v>
      </c>
      <c r="GC71" s="331">
        <f>GC62</f>
        <v>460000</v>
      </c>
      <c r="GE71" s="331">
        <f>GE62</f>
        <v>19466732.550000001</v>
      </c>
      <c r="GF71" s="331">
        <f>GF62</f>
        <v>19926732.550000001</v>
      </c>
      <c r="GH71" s="331">
        <f>GH62</f>
        <v>0</v>
      </c>
      <c r="GI71" s="331">
        <f>GI62</f>
        <v>19926732.550000001</v>
      </c>
      <c r="GK71" s="331">
        <f>GK62</f>
        <v>0</v>
      </c>
      <c r="GL71" s="331">
        <f>GL62</f>
        <v>19926732.550000001</v>
      </c>
      <c r="GN71" s="331">
        <f>GN62</f>
        <v>0</v>
      </c>
      <c r="GO71" s="331">
        <f>GO62</f>
        <v>19926732.550000001</v>
      </c>
      <c r="GQ71" s="331">
        <f>GQ62</f>
        <v>0</v>
      </c>
      <c r="GR71" s="331">
        <f>GR62</f>
        <v>19926732.550000001</v>
      </c>
      <c r="GT71" s="331">
        <f>GT62</f>
        <v>0</v>
      </c>
      <c r="GU71" s="331">
        <f>GU62</f>
        <v>19926732.550000001</v>
      </c>
      <c r="GW71" s="331">
        <f>GW62</f>
        <v>-26000</v>
      </c>
      <c r="GX71" s="331">
        <f>GX62</f>
        <v>19900732.550000001</v>
      </c>
      <c r="GZ71" s="331">
        <f>GZ62</f>
        <v>0</v>
      </c>
      <c r="HA71" s="434">
        <f>HA62</f>
        <v>19900732.550000001</v>
      </c>
      <c r="HC71" s="331">
        <f>HC62+HC63</f>
        <v>13362912.68</v>
      </c>
      <c r="HE71" s="331">
        <f>HE62+HE63</f>
        <v>4110719.9117000001</v>
      </c>
      <c r="HF71" s="235">
        <f>HE71/HC71</f>
        <v>0.30762155004218739</v>
      </c>
    </row>
    <row r="72" spans="1:214" ht="15.75" outlineLevel="1" thickTop="1">
      <c r="A72" s="1" t="s">
        <v>141</v>
      </c>
      <c r="B72" s="1" t="s">
        <v>142</v>
      </c>
      <c r="C72" s="4" t="s">
        <v>143</v>
      </c>
      <c r="D72" s="43">
        <v>2000</v>
      </c>
      <c r="E72" s="34">
        <v>100</v>
      </c>
      <c r="F72" s="43">
        <v>2000</v>
      </c>
      <c r="G72" s="34">
        <v>100</v>
      </c>
      <c r="H72" s="46">
        <v>2000</v>
      </c>
      <c r="I72" s="49">
        <v>2000</v>
      </c>
      <c r="K72" t="s">
        <v>332</v>
      </c>
      <c r="L72" s="118">
        <v>2000</v>
      </c>
      <c r="M72" s="17">
        <f t="shared" ref="M72:M80" si="149">L72/F72-1</f>
        <v>0</v>
      </c>
      <c r="N72" s="17">
        <f t="shared" ref="N72:N80" si="150">L72/I72-1</f>
        <v>0</v>
      </c>
      <c r="Q72" s="118">
        <v>2140</v>
      </c>
      <c r="R72" s="15">
        <v>2140</v>
      </c>
      <c r="S72" s="118">
        <v>2140</v>
      </c>
      <c r="T72" s="157">
        <f>S72-Q72</f>
        <v>0</v>
      </c>
      <c r="U72" s="16">
        <f>S72/Q72-1</f>
        <v>0</v>
      </c>
      <c r="V72" s="140">
        <v>2140</v>
      </c>
      <c r="W72">
        <v>140</v>
      </c>
      <c r="Y72" s="118">
        <v>2140</v>
      </c>
      <c r="AA72" s="118">
        <v>2140</v>
      </c>
      <c r="AB72" s="185">
        <f>AA72-Y72</f>
        <v>0</v>
      </c>
      <c r="AC72" s="187">
        <f t="shared" ref="AC72" si="151">AA72-Y72</f>
        <v>0</v>
      </c>
      <c r="AD72" s="187"/>
      <c r="AE72" s="118">
        <v>2140</v>
      </c>
      <c r="AF72" s="182"/>
      <c r="AH72" s="15">
        <v>2140</v>
      </c>
      <c r="AI72" s="17">
        <f t="shared" si="144"/>
        <v>1</v>
      </c>
      <c r="AK72" s="118">
        <v>2500</v>
      </c>
      <c r="AS72" s="15">
        <f t="shared" ref="AS72" si="152">AR72+AK72</f>
        <v>2500</v>
      </c>
      <c r="AV72" s="15">
        <f>AS72+AU72</f>
        <v>2500</v>
      </c>
      <c r="AX72" s="15"/>
      <c r="AY72" s="15">
        <f>AV72+AX72</f>
        <v>2500</v>
      </c>
      <c r="BB72" s="15">
        <f>AY72+BA72</f>
        <v>2500</v>
      </c>
      <c r="BD72" s="15">
        <v>-300</v>
      </c>
      <c r="BE72" s="15">
        <f>BB72+BD72</f>
        <v>2200</v>
      </c>
      <c r="BG72" s="15"/>
      <c r="BH72" s="15">
        <f>BE72+BG72</f>
        <v>2200</v>
      </c>
      <c r="BJ72" s="15">
        <v>2140</v>
      </c>
      <c r="BK72" s="235">
        <f t="shared" ref="BK72" si="153">BJ72/BH72</f>
        <v>0.97272727272727277</v>
      </c>
      <c r="BM72" s="15">
        <v>2200</v>
      </c>
      <c r="BN72" s="235">
        <f t="shared" ref="BN72" si="154">BM72/BJ72</f>
        <v>1.02803738317757</v>
      </c>
      <c r="BO72" s="235">
        <f t="shared" ref="BO72" si="155">BM72/BH72</f>
        <v>1</v>
      </c>
      <c r="BQ72" s="15"/>
      <c r="BR72" s="15">
        <f>BM72+BQ72</f>
        <v>2200</v>
      </c>
      <c r="BT72" s="15"/>
      <c r="BU72" s="15">
        <f>BR72+BT72</f>
        <v>2200</v>
      </c>
      <c r="BW72" s="15"/>
      <c r="BX72" s="15">
        <f>BU72+BW72</f>
        <v>2200</v>
      </c>
      <c r="BZ72" s="15"/>
      <c r="CA72" s="15">
        <f>BX72+BZ72</f>
        <v>2200</v>
      </c>
      <c r="CC72" s="15"/>
      <c r="CD72" s="15">
        <f>CA72+CC72</f>
        <v>2200</v>
      </c>
      <c r="CF72" s="15"/>
      <c r="CG72" s="15">
        <f>CD72+CF72</f>
        <v>2200</v>
      </c>
      <c r="CI72" s="15"/>
      <c r="CJ72" s="15">
        <f>CG72+CI72</f>
        <v>2200</v>
      </c>
      <c r="CM72" s="15">
        <f>CJ72+CL72</f>
        <v>2200</v>
      </c>
      <c r="CP72" s="15">
        <f>CM72+CO72</f>
        <v>2200</v>
      </c>
      <c r="CS72" s="15">
        <f>CP72+CR72</f>
        <v>2200</v>
      </c>
      <c r="CU72" s="227">
        <v>-2200</v>
      </c>
      <c r="CV72" s="15">
        <f>CS72+CU72</f>
        <v>0</v>
      </c>
      <c r="CX72" s="227"/>
      <c r="CY72" s="15">
        <f>CV72+CX72</f>
        <v>0</v>
      </c>
      <c r="DA72" s="15">
        <v>0</v>
      </c>
      <c r="DC72" s="15">
        <v>5000</v>
      </c>
      <c r="DE72" s="15"/>
      <c r="DF72" s="15">
        <f>DC72+DE72</f>
        <v>5000</v>
      </c>
      <c r="DH72" s="15"/>
      <c r="DI72" s="15">
        <f>DF72+DH72</f>
        <v>5000</v>
      </c>
      <c r="DK72" s="15"/>
      <c r="DL72" s="15">
        <f>DI72+DK72</f>
        <v>5000</v>
      </c>
      <c r="DN72" s="15"/>
      <c r="DO72" s="15">
        <f>DL72+DN72</f>
        <v>5000</v>
      </c>
      <c r="DQ72" s="15"/>
      <c r="DR72" s="15">
        <f>DO72+DQ72</f>
        <v>5000</v>
      </c>
      <c r="DT72" s="15"/>
      <c r="DU72" s="15">
        <f>DR72+DT72</f>
        <v>5000</v>
      </c>
      <c r="DW72" s="15"/>
      <c r="DX72" s="15">
        <f>DU72+DW72</f>
        <v>5000</v>
      </c>
      <c r="DZ72" s="15"/>
      <c r="EA72" s="15">
        <f>DX72+DZ72</f>
        <v>5000</v>
      </c>
      <c r="EC72" s="15"/>
      <c r="ED72" s="15">
        <f>EA72+EC72</f>
        <v>5000</v>
      </c>
      <c r="EF72" s="227">
        <v>-5000</v>
      </c>
      <c r="EG72" s="15">
        <f>ED72+EF72</f>
        <v>0</v>
      </c>
      <c r="EI72" s="15">
        <v>0</v>
      </c>
      <c r="EK72" s="15">
        <v>3000</v>
      </c>
      <c r="EM72" s="15"/>
      <c r="EN72" s="15">
        <f>EK72+EM72</f>
        <v>3000</v>
      </c>
      <c r="EP72" s="15"/>
      <c r="EQ72" s="15">
        <f>EN72+EP72</f>
        <v>3000</v>
      </c>
      <c r="ES72" s="15"/>
      <c r="ET72" s="15">
        <f>EQ72+ES72</f>
        <v>3000</v>
      </c>
      <c r="EW72" s="15">
        <f>ET72+EV72</f>
        <v>3000</v>
      </c>
      <c r="EZ72" s="15">
        <f>EW72+EY72</f>
        <v>3000</v>
      </c>
      <c r="FC72" s="15">
        <f>EZ72+FB72</f>
        <v>3000</v>
      </c>
      <c r="FF72" s="15">
        <f>FC72+FE72</f>
        <v>3000</v>
      </c>
      <c r="FI72" s="15">
        <f>FF72+FH72</f>
        <v>3000</v>
      </c>
      <c r="FL72" s="15">
        <f>FI72+FK72</f>
        <v>3000</v>
      </c>
      <c r="FO72" s="15">
        <f>FL72+FN72</f>
        <v>3000</v>
      </c>
      <c r="FR72" s="15">
        <v>3000</v>
      </c>
      <c r="FT72" s="15">
        <v>0</v>
      </c>
      <c r="FV72" s="15">
        <v>0</v>
      </c>
      <c r="FW72" s="235" t="e">
        <f>FV72/FT72</f>
        <v>#DIV/0!</v>
      </c>
      <c r="FZ72" s="15">
        <f>FV72+FY72</f>
        <v>0</v>
      </c>
      <c r="GB72" s="15"/>
      <c r="GC72" s="15">
        <f>FZ72+GB72</f>
        <v>0</v>
      </c>
      <c r="GE72" s="15"/>
      <c r="GF72" s="15">
        <f>GC72+GE72</f>
        <v>0</v>
      </c>
      <c r="GH72" s="15"/>
      <c r="GI72" s="15">
        <f>GF72+GH72</f>
        <v>0</v>
      </c>
      <c r="GK72" s="15"/>
      <c r="GL72" s="15">
        <f>GI72+GK72</f>
        <v>0</v>
      </c>
      <c r="GN72" s="15"/>
      <c r="GO72" s="15">
        <f>GL72+GN72</f>
        <v>0</v>
      </c>
      <c r="GQ72" s="15"/>
      <c r="GR72" s="15">
        <f>GO72+GQ72</f>
        <v>0</v>
      </c>
      <c r="GT72" s="15"/>
      <c r="GU72" s="15">
        <f>GR72+GT72</f>
        <v>0</v>
      </c>
      <c r="GW72" s="15"/>
      <c r="GX72" s="15">
        <f>GU72+GW72</f>
        <v>0</v>
      </c>
      <c r="GZ72" s="15"/>
      <c r="HA72" s="189">
        <f>GX72+GZ72</f>
        <v>0</v>
      </c>
      <c r="HC72" s="189">
        <v>0</v>
      </c>
      <c r="HE72" s="15">
        <v>0</v>
      </c>
      <c r="HF72" s="235" t="e">
        <f>HE72/HC72</f>
        <v>#DIV/0!</v>
      </c>
    </row>
    <row r="73" spans="1:214" outlineLevel="1">
      <c r="A73" s="1" t="s">
        <v>141</v>
      </c>
      <c r="B73" s="1" t="s">
        <v>144</v>
      </c>
      <c r="C73" s="4" t="s">
        <v>145</v>
      </c>
      <c r="D73" s="43">
        <v>0</v>
      </c>
      <c r="E73" s="34">
        <v>0</v>
      </c>
      <c r="F73" s="43">
        <v>11836</v>
      </c>
      <c r="G73" s="34">
        <v>100</v>
      </c>
      <c r="H73" s="46">
        <v>11836</v>
      </c>
      <c r="I73" s="36">
        <v>11836</v>
      </c>
      <c r="J73" s="14"/>
      <c r="L73" s="118">
        <v>0</v>
      </c>
      <c r="M73" s="17">
        <f t="shared" si="149"/>
        <v>-1</v>
      </c>
      <c r="N73" s="17">
        <f t="shared" si="150"/>
        <v>-1</v>
      </c>
      <c r="Y73" s="118"/>
      <c r="AF73" s="182"/>
      <c r="AH73" s="15"/>
      <c r="AX73" s="15"/>
      <c r="BD73" s="15"/>
      <c r="BG73" s="15"/>
      <c r="DE73" s="15"/>
      <c r="DH73" s="15"/>
      <c r="DK73" s="15"/>
      <c r="DN73" s="15"/>
      <c r="DQ73" s="15"/>
      <c r="DT73" s="15"/>
      <c r="DW73" s="15"/>
      <c r="DZ73" s="15"/>
      <c r="EC73" s="15"/>
      <c r="EF73" s="15"/>
      <c r="EK73" s="15"/>
      <c r="EM73" s="15"/>
      <c r="EP73" s="15"/>
      <c r="ES73" s="15"/>
      <c r="GB73" s="15"/>
      <c r="GE73" s="15"/>
      <c r="GH73" s="15"/>
      <c r="GK73" s="15"/>
      <c r="GN73" s="15"/>
      <c r="GQ73" s="15"/>
      <c r="GT73" s="15"/>
      <c r="GW73" s="15"/>
      <c r="GZ73" s="15"/>
    </row>
    <row r="74" spans="1:214" outlineLevel="1">
      <c r="A74" s="1" t="s">
        <v>141</v>
      </c>
      <c r="B74" s="1" t="s">
        <v>113</v>
      </c>
      <c r="C74" s="4" t="s">
        <v>114</v>
      </c>
      <c r="D74" s="43">
        <v>0</v>
      </c>
      <c r="E74" s="34">
        <v>0</v>
      </c>
      <c r="F74" s="43">
        <v>0</v>
      </c>
      <c r="G74" s="34">
        <v>0</v>
      </c>
      <c r="H74" s="46">
        <v>3100</v>
      </c>
      <c r="I74" s="36">
        <v>3100</v>
      </c>
      <c r="J74" s="14"/>
      <c r="L74" s="118">
        <v>0</v>
      </c>
      <c r="M74" s="17" t="e">
        <f t="shared" si="149"/>
        <v>#DIV/0!</v>
      </c>
      <c r="N74" s="17">
        <f t="shared" si="150"/>
        <v>-1</v>
      </c>
      <c r="Y74" s="118"/>
      <c r="AF74" s="182"/>
      <c r="AH74" s="15"/>
      <c r="AX74" s="15"/>
      <c r="BD74" s="15"/>
      <c r="BG74" s="15"/>
      <c r="DE74" s="15"/>
      <c r="DH74" s="15"/>
      <c r="DK74" s="15"/>
      <c r="DN74" s="15"/>
      <c r="DQ74" s="15"/>
      <c r="DT74" s="15"/>
      <c r="DW74" s="15"/>
      <c r="DZ74" s="15"/>
      <c r="EC74" s="15"/>
      <c r="EF74" s="15"/>
      <c r="EK74" s="15"/>
      <c r="EM74" s="15"/>
      <c r="EP74" s="15"/>
      <c r="ES74" s="15"/>
      <c r="GB74" s="15"/>
      <c r="GE74" s="15"/>
      <c r="GH74" s="15"/>
      <c r="GK74" s="15"/>
      <c r="GN74" s="15"/>
      <c r="GQ74" s="15"/>
      <c r="GT74" s="15"/>
      <c r="GW74" s="15"/>
      <c r="GZ74" s="15"/>
    </row>
    <row r="75" spans="1:214" outlineLevel="1">
      <c r="A75" s="1" t="s">
        <v>141</v>
      </c>
      <c r="B75" s="1" t="s">
        <v>146</v>
      </c>
      <c r="C75" s="4" t="s">
        <v>147</v>
      </c>
      <c r="D75" s="43">
        <v>22000</v>
      </c>
      <c r="E75" s="34">
        <v>75.47</v>
      </c>
      <c r="F75" s="43">
        <v>22000</v>
      </c>
      <c r="G75" s="34">
        <v>75.47</v>
      </c>
      <c r="H75" s="46">
        <v>16603</v>
      </c>
      <c r="I75" s="36">
        <v>21000</v>
      </c>
      <c r="J75" s="14"/>
      <c r="L75" s="118">
        <v>20000</v>
      </c>
      <c r="M75" s="17">
        <f t="shared" si="149"/>
        <v>-9.0909090909090939E-2</v>
      </c>
      <c r="N75" s="17">
        <f t="shared" si="150"/>
        <v>-4.7619047619047672E-2</v>
      </c>
      <c r="Q75" s="118">
        <v>19860</v>
      </c>
      <c r="R75" s="15">
        <v>0</v>
      </c>
      <c r="S75" s="118">
        <v>2800</v>
      </c>
      <c r="T75" s="157">
        <f>S75-Q75</f>
        <v>-17060</v>
      </c>
      <c r="U75" s="16">
        <f>S75/Q75-1</f>
        <v>-0.85901309164149042</v>
      </c>
      <c r="V75" s="140">
        <v>19860</v>
      </c>
      <c r="W75">
        <v>-140</v>
      </c>
      <c r="Y75" s="118">
        <v>2800</v>
      </c>
      <c r="AA75" s="118">
        <v>0</v>
      </c>
      <c r="AB75" s="185">
        <f>AA75-Y75</f>
        <v>-2800</v>
      </c>
      <c r="AC75" s="187">
        <f t="shared" ref="AC75:AC80" si="156">AA75-Y75</f>
        <v>-2800</v>
      </c>
      <c r="AD75" s="187"/>
      <c r="AE75" s="118">
        <v>0</v>
      </c>
      <c r="AF75" s="182"/>
      <c r="AH75" s="15">
        <v>0</v>
      </c>
      <c r="AK75" s="118">
        <v>1000</v>
      </c>
      <c r="AP75" s="220">
        <v>1000</v>
      </c>
      <c r="AS75" s="15">
        <f>AR75+AK75</f>
        <v>1000</v>
      </c>
      <c r="AV75" s="15">
        <f t="shared" ref="AV75:AV80" si="157">AS75+AU75</f>
        <v>1000</v>
      </c>
      <c r="AX75" s="15"/>
      <c r="AY75" s="15">
        <f t="shared" ref="AY75:AY80" si="158">AV75+AX75</f>
        <v>1000</v>
      </c>
      <c r="BB75" s="15">
        <f t="shared" ref="BB75:BB80" si="159">AY75+BA75</f>
        <v>1000</v>
      </c>
      <c r="BD75" s="15">
        <v>1000</v>
      </c>
      <c r="BE75" s="15">
        <f t="shared" ref="BE75:BE80" si="160">BB75+BD75</f>
        <v>2000</v>
      </c>
      <c r="BG75" s="15"/>
      <c r="BH75" s="15">
        <f t="shared" ref="BH75:BH80" si="161">BE75+BG75</f>
        <v>2000</v>
      </c>
      <c r="BJ75" s="15">
        <v>928</v>
      </c>
      <c r="BK75" s="235">
        <f t="shared" ref="BK75:BK80" si="162">BJ75/BH75</f>
        <v>0.46400000000000002</v>
      </c>
      <c r="BM75" s="15">
        <v>1000</v>
      </c>
      <c r="BN75" s="235">
        <f t="shared" ref="BN75:BN80" si="163">BM75/BJ75</f>
        <v>1.0775862068965518</v>
      </c>
      <c r="BO75" s="235">
        <f t="shared" ref="BO75:BO80" si="164">BM75/BH75</f>
        <v>0.5</v>
      </c>
      <c r="BQ75" s="15"/>
      <c r="BR75" s="15">
        <f>BM75+BQ75</f>
        <v>1000</v>
      </c>
      <c r="BT75" s="15"/>
      <c r="BU75" s="15">
        <f>BR75+BT75</f>
        <v>1000</v>
      </c>
      <c r="BW75" s="15"/>
      <c r="BX75" s="15">
        <f>BU75+BW75</f>
        <v>1000</v>
      </c>
      <c r="BZ75" s="15"/>
      <c r="CA75" s="15">
        <f>BX75+BZ75</f>
        <v>1000</v>
      </c>
      <c r="CC75" s="15"/>
      <c r="CD75" s="15">
        <f>CA75+CC75</f>
        <v>1000</v>
      </c>
      <c r="CF75" s="15"/>
      <c r="CG75" s="15">
        <f>CD75+CF75</f>
        <v>1000</v>
      </c>
      <c r="CI75" s="15"/>
      <c r="CJ75" s="15">
        <f>CG75+CI75</f>
        <v>1000</v>
      </c>
      <c r="CM75" s="15">
        <f>CJ75+CL75</f>
        <v>1000</v>
      </c>
      <c r="CO75" s="15">
        <v>500</v>
      </c>
      <c r="CP75" s="15">
        <f t="shared" ref="CP75:CP81" si="165">CM75+CO75</f>
        <v>1500</v>
      </c>
      <c r="CS75" s="15">
        <f t="shared" ref="CS75:CS81" si="166">CP75+CR75</f>
        <v>1500</v>
      </c>
      <c r="CU75" s="227">
        <v>-1500</v>
      </c>
      <c r="CV75" s="15">
        <f t="shared" ref="CV75:CV81" si="167">CS75+CU75</f>
        <v>0</v>
      </c>
      <c r="CX75" s="227"/>
      <c r="CY75" s="15">
        <f t="shared" ref="CY75:CY81" si="168">CV75+CX75</f>
        <v>0</v>
      </c>
      <c r="DA75" s="15">
        <v>0</v>
      </c>
      <c r="DE75" s="15"/>
      <c r="DF75" s="15">
        <f t="shared" ref="DF75:DF80" si="169">DC75+DE75</f>
        <v>0</v>
      </c>
      <c r="DH75" s="15"/>
      <c r="DI75" s="15">
        <f t="shared" ref="DI75:DI80" si="170">DF75+DH75</f>
        <v>0</v>
      </c>
      <c r="DK75" s="15"/>
      <c r="DL75" s="15">
        <f t="shared" ref="DL75:DL80" si="171">DI75+DK75</f>
        <v>0</v>
      </c>
      <c r="DN75" s="15"/>
      <c r="DO75" s="15">
        <f t="shared" ref="DO75:DO80" si="172">DL75+DN75</f>
        <v>0</v>
      </c>
      <c r="DQ75" s="15"/>
      <c r="DR75" s="15">
        <f t="shared" ref="DR75:DR80" si="173">DO75+DQ75</f>
        <v>0</v>
      </c>
      <c r="DT75" s="15"/>
      <c r="DU75" s="15">
        <f t="shared" ref="DU75:DU80" si="174">DR75+DT75</f>
        <v>0</v>
      </c>
      <c r="DW75" s="15"/>
      <c r="DX75" s="15">
        <f t="shared" ref="DX75:DX80" si="175">DU75+DW75</f>
        <v>0</v>
      </c>
      <c r="DZ75" s="15"/>
      <c r="EA75" s="15">
        <f t="shared" ref="EA75:EA80" si="176">DX75+DZ75</f>
        <v>0</v>
      </c>
      <c r="EC75" s="15"/>
      <c r="ED75" s="15">
        <f t="shared" ref="ED75:ED80" si="177">EA75+EC75</f>
        <v>0</v>
      </c>
      <c r="EF75" s="15"/>
      <c r="EG75" s="15">
        <f t="shared" ref="EG75:EG80" si="178">ED75+EF75</f>
        <v>0</v>
      </c>
      <c r="EK75" s="15"/>
      <c r="EM75" s="15"/>
      <c r="EN75" s="15">
        <f t="shared" ref="EN75:EN80" si="179">EK75+EM75</f>
        <v>0</v>
      </c>
      <c r="EP75" s="227">
        <v>3000</v>
      </c>
      <c r="EQ75" s="15">
        <f t="shared" ref="EQ75:EQ80" si="180">EN75+EP75</f>
        <v>3000</v>
      </c>
      <c r="ES75" s="15"/>
      <c r="ET75" s="15">
        <f t="shared" ref="ET75:ET80" si="181">EQ75+ES75</f>
        <v>3000</v>
      </c>
      <c r="EW75" s="15">
        <f t="shared" ref="EW75:EW80" si="182">ET75+EV75</f>
        <v>3000</v>
      </c>
      <c r="EZ75" s="15">
        <f t="shared" ref="EZ75:EZ80" si="183">EW75+EY75</f>
        <v>3000</v>
      </c>
      <c r="FC75" s="15">
        <f t="shared" ref="FC75:FC80" si="184">EZ75+FB75</f>
        <v>3000</v>
      </c>
      <c r="FF75" s="15">
        <f t="shared" ref="FF75:FF80" si="185">FC75+FE75</f>
        <v>3000</v>
      </c>
      <c r="FI75" s="15">
        <f t="shared" ref="FI75:FI80" si="186">FF75+FH75</f>
        <v>3000</v>
      </c>
      <c r="FL75" s="15">
        <f t="shared" ref="FL75:FL80" si="187">FI75+FK75</f>
        <v>3000</v>
      </c>
      <c r="FO75" s="15">
        <f t="shared" ref="FO75:FO76" si="188">FL75+FN75</f>
        <v>3000</v>
      </c>
      <c r="FR75" s="15">
        <v>3000</v>
      </c>
      <c r="FT75" s="15">
        <v>2100</v>
      </c>
      <c r="FV75" s="15">
        <v>3000</v>
      </c>
      <c r="FW75" s="235">
        <f t="shared" ref="FW75:FW80" si="189">FV75/FT75</f>
        <v>1.4285714285714286</v>
      </c>
      <c r="FZ75" s="15">
        <f t="shared" ref="FZ75:FZ80" si="190">FV75+FY75</f>
        <v>3000</v>
      </c>
      <c r="GB75" s="15"/>
      <c r="GC75" s="15">
        <f t="shared" ref="GC75:GC80" si="191">FZ75+GB75</f>
        <v>3000</v>
      </c>
      <c r="GE75" s="15"/>
      <c r="GF75" s="15">
        <f t="shared" ref="GF75:GF80" si="192">GC75+GE75</f>
        <v>3000</v>
      </c>
      <c r="GH75" s="15"/>
      <c r="GI75" s="15">
        <f t="shared" ref="GI75:GI80" si="193">GF75+GH75</f>
        <v>3000</v>
      </c>
      <c r="GK75" s="15"/>
      <c r="GL75" s="15">
        <f t="shared" ref="GL75:GL80" si="194">GI75+GK75</f>
        <v>3000</v>
      </c>
      <c r="GN75" s="15"/>
      <c r="GO75" s="15">
        <f t="shared" ref="GO75:GO80" si="195">GL75+GN75</f>
        <v>3000</v>
      </c>
      <c r="GQ75" s="15"/>
      <c r="GR75" s="15">
        <f t="shared" ref="GR75:GR80" si="196">GO75+GQ75</f>
        <v>3000</v>
      </c>
      <c r="GT75" s="15"/>
      <c r="GU75" s="15">
        <f t="shared" ref="GU75:GU80" si="197">GR75+GT75</f>
        <v>3000</v>
      </c>
      <c r="GW75" s="15"/>
      <c r="GX75" s="15">
        <f t="shared" ref="GX75:GX80" si="198">GU75+GW75</f>
        <v>3000</v>
      </c>
      <c r="GZ75" s="15"/>
      <c r="HA75" s="189">
        <f t="shared" ref="HA75:HA80" si="199">GX75+GZ75</f>
        <v>3000</v>
      </c>
      <c r="HC75" s="189">
        <v>0</v>
      </c>
      <c r="HE75" s="15">
        <v>3000</v>
      </c>
      <c r="HF75" s="235" t="e">
        <f t="shared" ref="HF75:HF80" si="200">HE75/HC75</f>
        <v>#DIV/0!</v>
      </c>
    </row>
    <row r="76" spans="1:214" outlineLevel="1">
      <c r="A76" s="1" t="s">
        <v>141</v>
      </c>
      <c r="B76" s="1" t="s">
        <v>115</v>
      </c>
      <c r="C76" s="4" t="s">
        <v>116</v>
      </c>
      <c r="D76" s="43">
        <v>20000</v>
      </c>
      <c r="E76" s="34">
        <v>153.63999999999999</v>
      </c>
      <c r="F76" s="43">
        <v>35000</v>
      </c>
      <c r="G76" s="34">
        <v>87.79</v>
      </c>
      <c r="H76" s="46">
        <v>30728</v>
      </c>
      <c r="I76" s="36">
        <v>31000</v>
      </c>
      <c r="J76" s="14"/>
      <c r="L76" s="118">
        <f>'[2]2020'!$Q$65</f>
        <v>30000</v>
      </c>
      <c r="M76" s="17">
        <f t="shared" si="149"/>
        <v>-0.1428571428571429</v>
      </c>
      <c r="N76" s="17">
        <f t="shared" si="150"/>
        <v>-3.2258064516129004E-2</v>
      </c>
      <c r="Q76" s="118">
        <v>30000</v>
      </c>
      <c r="R76" s="15">
        <v>0</v>
      </c>
      <c r="S76" s="118">
        <v>0</v>
      </c>
      <c r="T76" s="157">
        <f>S76-Q76</f>
        <v>-30000</v>
      </c>
      <c r="U76" s="16">
        <f>S76/Q76-1</f>
        <v>-1</v>
      </c>
      <c r="Y76" s="118">
        <v>0</v>
      </c>
      <c r="AA76" s="118">
        <v>0</v>
      </c>
      <c r="AB76" s="185">
        <f>AA76-Y76</f>
        <v>0</v>
      </c>
      <c r="AC76" s="187">
        <f t="shared" si="156"/>
        <v>0</v>
      </c>
      <c r="AD76" s="187"/>
      <c r="AE76" s="118">
        <v>0</v>
      </c>
      <c r="AF76" s="182"/>
      <c r="AH76" s="15">
        <v>0</v>
      </c>
      <c r="AK76" s="118">
        <v>500</v>
      </c>
      <c r="AP76" s="220">
        <v>500</v>
      </c>
      <c r="AS76" s="15">
        <f>AR76+AK76</f>
        <v>500</v>
      </c>
      <c r="AV76" s="15">
        <f t="shared" si="157"/>
        <v>500</v>
      </c>
      <c r="AX76" s="15"/>
      <c r="AY76" s="15">
        <f t="shared" si="158"/>
        <v>500</v>
      </c>
      <c r="BB76" s="15">
        <f t="shared" si="159"/>
        <v>500</v>
      </c>
      <c r="BD76" s="15"/>
      <c r="BE76" s="15">
        <f t="shared" si="160"/>
        <v>500</v>
      </c>
      <c r="BG76" s="15"/>
      <c r="BH76" s="15">
        <f t="shared" si="161"/>
        <v>500</v>
      </c>
      <c r="BJ76" s="15">
        <v>450</v>
      </c>
      <c r="BK76" s="235">
        <f t="shared" si="162"/>
        <v>0.9</v>
      </c>
      <c r="BM76" s="15">
        <v>0</v>
      </c>
      <c r="BN76" s="235">
        <f t="shared" si="163"/>
        <v>0</v>
      </c>
      <c r="BO76" s="235">
        <f t="shared" si="164"/>
        <v>0</v>
      </c>
      <c r="BQ76" s="15"/>
      <c r="BR76" s="15">
        <f>BM76+BQ76</f>
        <v>0</v>
      </c>
      <c r="BT76" s="227">
        <v>8000</v>
      </c>
      <c r="BU76" s="15">
        <f>BR76+BT76</f>
        <v>8000</v>
      </c>
      <c r="BW76" s="15"/>
      <c r="BX76" s="15">
        <f>BU76+BW76</f>
        <v>8000</v>
      </c>
      <c r="BZ76" s="15"/>
      <c r="CA76" s="15">
        <f>BX76+BZ76</f>
        <v>8000</v>
      </c>
      <c r="CC76" s="15"/>
      <c r="CD76" s="15">
        <f>CA76+CC76</f>
        <v>8000</v>
      </c>
      <c r="CF76" s="15"/>
      <c r="CG76" s="15">
        <f>CD76+CF76</f>
        <v>8000</v>
      </c>
      <c r="CI76" s="15"/>
      <c r="CJ76" s="15">
        <f>CG76+CI76</f>
        <v>8000</v>
      </c>
      <c r="CM76" s="15">
        <f>CJ76+CL76</f>
        <v>8000</v>
      </c>
      <c r="CP76" s="15">
        <f t="shared" si="165"/>
        <v>8000</v>
      </c>
      <c r="CS76" s="15">
        <f t="shared" si="166"/>
        <v>8000</v>
      </c>
      <c r="CV76" s="15">
        <f t="shared" si="167"/>
        <v>8000</v>
      </c>
      <c r="CY76" s="15">
        <f t="shared" si="168"/>
        <v>8000</v>
      </c>
      <c r="DA76" s="15">
        <v>8000</v>
      </c>
      <c r="DC76" s="15">
        <v>10000</v>
      </c>
      <c r="DE76" s="15"/>
      <c r="DF76" s="15">
        <f t="shared" si="169"/>
        <v>10000</v>
      </c>
      <c r="DH76" s="227">
        <v>5000</v>
      </c>
      <c r="DI76" s="15">
        <f t="shared" si="170"/>
        <v>15000</v>
      </c>
      <c r="DK76" s="15"/>
      <c r="DL76" s="15">
        <f t="shared" si="171"/>
        <v>15000</v>
      </c>
      <c r="DN76" s="15"/>
      <c r="DO76" s="15">
        <f t="shared" si="172"/>
        <v>15000</v>
      </c>
      <c r="DQ76" s="227">
        <v>7000</v>
      </c>
      <c r="DR76" s="15">
        <f t="shared" si="173"/>
        <v>22000</v>
      </c>
      <c r="DT76" s="15"/>
      <c r="DU76" s="15">
        <f t="shared" si="174"/>
        <v>22000</v>
      </c>
      <c r="DW76" s="15"/>
      <c r="DX76" s="15">
        <f t="shared" si="175"/>
        <v>22000</v>
      </c>
      <c r="DZ76" s="15"/>
      <c r="EA76" s="15">
        <f t="shared" si="176"/>
        <v>22000</v>
      </c>
      <c r="EC76" s="15"/>
      <c r="ED76" s="15">
        <f t="shared" si="177"/>
        <v>22000</v>
      </c>
      <c r="EF76" s="227">
        <v>-3000</v>
      </c>
      <c r="EG76" s="15">
        <f t="shared" si="178"/>
        <v>19000</v>
      </c>
      <c r="EI76" s="15">
        <v>18520</v>
      </c>
      <c r="EK76" s="15">
        <v>15000</v>
      </c>
      <c r="EM76" s="15"/>
      <c r="EN76" s="15">
        <f t="shared" si="179"/>
        <v>15000</v>
      </c>
      <c r="EP76" s="15"/>
      <c r="EQ76" s="15">
        <f t="shared" si="180"/>
        <v>15000</v>
      </c>
      <c r="ES76" s="15"/>
      <c r="ET76" s="15">
        <f t="shared" si="181"/>
        <v>15000</v>
      </c>
      <c r="EW76" s="15">
        <f t="shared" si="182"/>
        <v>15000</v>
      </c>
      <c r="EZ76" s="15">
        <f t="shared" si="183"/>
        <v>15000</v>
      </c>
      <c r="FC76" s="15">
        <f t="shared" si="184"/>
        <v>15000</v>
      </c>
      <c r="FF76" s="15">
        <f t="shared" si="185"/>
        <v>15000</v>
      </c>
      <c r="FI76" s="15">
        <f t="shared" si="186"/>
        <v>15000</v>
      </c>
      <c r="FL76" s="15">
        <f t="shared" si="187"/>
        <v>15000</v>
      </c>
      <c r="FO76" s="15">
        <f t="shared" si="188"/>
        <v>15000</v>
      </c>
      <c r="FR76" s="15">
        <v>15000</v>
      </c>
      <c r="FT76" s="15">
        <v>13000</v>
      </c>
      <c r="FV76" s="15">
        <v>18500</v>
      </c>
      <c r="FW76" s="235">
        <f t="shared" si="189"/>
        <v>1.4230769230769231</v>
      </c>
      <c r="FZ76" s="15">
        <f t="shared" si="190"/>
        <v>18500</v>
      </c>
      <c r="GB76" s="15"/>
      <c r="GC76" s="15">
        <f t="shared" si="191"/>
        <v>18500</v>
      </c>
      <c r="GE76" s="15"/>
      <c r="GF76" s="15">
        <f t="shared" si="192"/>
        <v>18500</v>
      </c>
      <c r="GH76" s="15"/>
      <c r="GI76" s="15">
        <f t="shared" si="193"/>
        <v>18500</v>
      </c>
      <c r="GK76" s="15"/>
      <c r="GL76" s="15">
        <f t="shared" si="194"/>
        <v>18500</v>
      </c>
      <c r="GN76" s="15"/>
      <c r="GO76" s="15">
        <f t="shared" si="195"/>
        <v>18500</v>
      </c>
      <c r="GQ76" s="15"/>
      <c r="GR76" s="15">
        <f t="shared" si="196"/>
        <v>18500</v>
      </c>
      <c r="GT76" s="15"/>
      <c r="GU76" s="15">
        <f t="shared" si="197"/>
        <v>18500</v>
      </c>
      <c r="GW76" s="15"/>
      <c r="GX76" s="15">
        <f t="shared" si="198"/>
        <v>18500</v>
      </c>
      <c r="GZ76" s="15"/>
      <c r="HA76" s="189">
        <f t="shared" si="199"/>
        <v>18500</v>
      </c>
      <c r="HC76" s="189">
        <v>16080</v>
      </c>
      <c r="HE76" s="15">
        <v>15000</v>
      </c>
      <c r="HF76" s="235">
        <f t="shared" si="200"/>
        <v>0.93283582089552242</v>
      </c>
    </row>
    <row r="77" spans="1:214" outlineLevel="1">
      <c r="A77" s="1" t="s">
        <v>141</v>
      </c>
      <c r="B77" s="1" t="s">
        <v>148</v>
      </c>
      <c r="C77" s="4" t="s">
        <v>149</v>
      </c>
      <c r="D77" s="43">
        <v>20000</v>
      </c>
      <c r="E77" s="34">
        <v>13.99</v>
      </c>
      <c r="F77" s="43">
        <v>20000</v>
      </c>
      <c r="G77" s="34">
        <v>13.99</v>
      </c>
      <c r="H77" s="46">
        <v>2798</v>
      </c>
      <c r="I77" s="36">
        <v>5000</v>
      </c>
      <c r="J77" s="14"/>
      <c r="L77" s="118">
        <v>5000</v>
      </c>
      <c r="M77" s="17">
        <f t="shared" si="149"/>
        <v>-0.75</v>
      </c>
      <c r="N77" s="17">
        <f t="shared" si="150"/>
        <v>0</v>
      </c>
      <c r="Q77" s="118">
        <v>5000</v>
      </c>
      <c r="R77" s="15">
        <v>4612</v>
      </c>
      <c r="S77" s="118">
        <v>7000</v>
      </c>
      <c r="T77" s="157">
        <f>S77-Q77</f>
        <v>2000</v>
      </c>
      <c r="U77" s="16">
        <f>S77/Q77-1</f>
        <v>0.39999999999999991</v>
      </c>
      <c r="Y77" s="118">
        <v>7000</v>
      </c>
      <c r="AA77" s="118">
        <v>5100</v>
      </c>
      <c r="AB77" s="185">
        <f>AA77-Y77</f>
        <v>-1900</v>
      </c>
      <c r="AC77" s="187">
        <f t="shared" si="156"/>
        <v>-1900</v>
      </c>
      <c r="AD77" s="187"/>
      <c r="AE77" s="118">
        <v>5100</v>
      </c>
      <c r="AF77" s="182"/>
      <c r="AH77" s="15">
        <v>4612</v>
      </c>
      <c r="AI77" s="17">
        <f t="shared" ref="AI77:AI80" si="201">AH77/AE77</f>
        <v>0.90431372549019606</v>
      </c>
      <c r="AK77" s="118">
        <v>5000</v>
      </c>
      <c r="AS77" s="15">
        <f t="shared" ref="AS77:AS80" si="202">AR77+AK77</f>
        <v>5000</v>
      </c>
      <c r="AV77" s="15">
        <f t="shared" si="157"/>
        <v>5000</v>
      </c>
      <c r="AX77" s="15"/>
      <c r="AY77" s="15">
        <f t="shared" si="158"/>
        <v>5000</v>
      </c>
      <c r="BA77" s="227">
        <v>-4000</v>
      </c>
      <c r="BB77" s="15">
        <v>5000</v>
      </c>
      <c r="BD77" s="15"/>
      <c r="BE77" s="15">
        <f t="shared" si="160"/>
        <v>5000</v>
      </c>
      <c r="BG77" s="15"/>
      <c r="BH77" s="15">
        <f t="shared" si="161"/>
        <v>5000</v>
      </c>
      <c r="BJ77" s="15">
        <v>3418</v>
      </c>
      <c r="BK77" s="235">
        <f t="shared" si="162"/>
        <v>0.68359999999999999</v>
      </c>
      <c r="BM77" s="15">
        <v>5000</v>
      </c>
      <c r="BN77" s="235">
        <f t="shared" si="163"/>
        <v>1.4628437682855471</v>
      </c>
      <c r="BO77" s="235">
        <f t="shared" si="164"/>
        <v>1</v>
      </c>
      <c r="BQ77" s="15"/>
      <c r="BR77" s="15">
        <f>BM77+BQ77</f>
        <v>5000</v>
      </c>
      <c r="BT77" s="227">
        <v>2000</v>
      </c>
      <c r="BU77" s="15">
        <f>BR77+BT77</f>
        <v>7000</v>
      </c>
      <c r="BW77" s="15"/>
      <c r="BX77" s="15">
        <f>BU77+BW77</f>
        <v>7000</v>
      </c>
      <c r="BZ77" s="15"/>
      <c r="CA77" s="15">
        <f>BX77+BZ77</f>
        <v>7000</v>
      </c>
      <c r="CC77" s="15"/>
      <c r="CD77" s="15">
        <f>CA77+CC77</f>
        <v>7000</v>
      </c>
      <c r="CF77" s="15"/>
      <c r="CG77" s="15">
        <f>CD77+CF77</f>
        <v>7000</v>
      </c>
      <c r="CI77" s="15"/>
      <c r="CJ77" s="15">
        <f>CG77+CI77</f>
        <v>7000</v>
      </c>
      <c r="CL77" s="15">
        <v>5000</v>
      </c>
      <c r="CM77" s="15">
        <f>CJ77+CL77</f>
        <v>12000</v>
      </c>
      <c r="CP77" s="15">
        <f t="shared" si="165"/>
        <v>12000</v>
      </c>
      <c r="CS77" s="15">
        <f t="shared" si="166"/>
        <v>12000</v>
      </c>
      <c r="CU77" s="227">
        <v>-2000</v>
      </c>
      <c r="CV77" s="15">
        <f t="shared" si="167"/>
        <v>10000</v>
      </c>
      <c r="CX77" s="227"/>
      <c r="CY77" s="15">
        <f t="shared" si="168"/>
        <v>10000</v>
      </c>
      <c r="DA77" s="15">
        <v>9924</v>
      </c>
      <c r="DC77" s="15">
        <v>10000</v>
      </c>
      <c r="DE77" s="15"/>
      <c r="DF77" s="15">
        <f t="shared" si="169"/>
        <v>10000</v>
      </c>
      <c r="DH77" s="15"/>
      <c r="DI77" s="15">
        <f t="shared" si="170"/>
        <v>10000</v>
      </c>
      <c r="DK77" s="15"/>
      <c r="DL77" s="15">
        <f t="shared" si="171"/>
        <v>10000</v>
      </c>
      <c r="DN77" s="15"/>
      <c r="DO77" s="15">
        <f t="shared" si="172"/>
        <v>10000</v>
      </c>
      <c r="DQ77" s="227">
        <v>-3000</v>
      </c>
      <c r="DR77" s="15">
        <f t="shared" si="173"/>
        <v>7000</v>
      </c>
      <c r="DT77" s="15"/>
      <c r="DU77" s="15">
        <f t="shared" si="174"/>
        <v>7000</v>
      </c>
      <c r="DW77" s="15"/>
      <c r="DX77" s="15">
        <f t="shared" si="175"/>
        <v>7000</v>
      </c>
      <c r="DZ77" s="15"/>
      <c r="EA77" s="15">
        <f t="shared" si="176"/>
        <v>7000</v>
      </c>
      <c r="EC77" s="15"/>
      <c r="ED77" s="15">
        <f t="shared" si="177"/>
        <v>7000</v>
      </c>
      <c r="EF77" s="227">
        <v>6000</v>
      </c>
      <c r="EG77" s="15">
        <f t="shared" si="178"/>
        <v>13000</v>
      </c>
      <c r="EI77" s="15">
        <v>12037</v>
      </c>
      <c r="EK77" s="15">
        <v>12000</v>
      </c>
      <c r="EM77" s="15"/>
      <c r="EN77" s="15">
        <f t="shared" si="179"/>
        <v>12000</v>
      </c>
      <c r="EP77" s="15"/>
      <c r="EQ77" s="15">
        <f t="shared" si="180"/>
        <v>12000</v>
      </c>
      <c r="ES77" s="15"/>
      <c r="ET77" s="15">
        <f t="shared" si="181"/>
        <v>12000</v>
      </c>
      <c r="EW77" s="15">
        <f t="shared" si="182"/>
        <v>12000</v>
      </c>
      <c r="EZ77" s="15">
        <f t="shared" si="183"/>
        <v>12000</v>
      </c>
      <c r="FC77" s="15">
        <f t="shared" si="184"/>
        <v>12000</v>
      </c>
      <c r="FF77" s="15">
        <f t="shared" si="185"/>
        <v>12000</v>
      </c>
      <c r="FI77" s="15">
        <f t="shared" si="186"/>
        <v>12000</v>
      </c>
      <c r="FL77" s="15">
        <f>FI77+FK77</f>
        <v>12000</v>
      </c>
      <c r="FO77" s="15">
        <f>FL77+FN77</f>
        <v>12000</v>
      </c>
      <c r="FR77" s="15">
        <v>12000</v>
      </c>
      <c r="FT77" s="15">
        <v>11623</v>
      </c>
      <c r="FV77" s="15">
        <v>12000</v>
      </c>
      <c r="FW77" s="235">
        <f t="shared" si="189"/>
        <v>1.032435687860277</v>
      </c>
      <c r="FZ77" s="15">
        <f t="shared" si="190"/>
        <v>12000</v>
      </c>
      <c r="GB77" s="15"/>
      <c r="GC77" s="15">
        <f t="shared" si="191"/>
        <v>12000</v>
      </c>
      <c r="GE77" s="227">
        <v>10000</v>
      </c>
      <c r="GF77" s="15">
        <f t="shared" si="192"/>
        <v>22000</v>
      </c>
      <c r="GH77" s="15"/>
      <c r="GI77" s="15">
        <f t="shared" si="193"/>
        <v>22000</v>
      </c>
      <c r="GK77" s="15"/>
      <c r="GL77" s="15">
        <f t="shared" si="194"/>
        <v>22000</v>
      </c>
      <c r="GN77" s="15"/>
      <c r="GO77" s="15">
        <f t="shared" si="195"/>
        <v>22000</v>
      </c>
      <c r="GQ77" s="15"/>
      <c r="GR77" s="15">
        <f t="shared" si="196"/>
        <v>22000</v>
      </c>
      <c r="GT77" s="15"/>
      <c r="GU77" s="15">
        <f t="shared" si="197"/>
        <v>22000</v>
      </c>
      <c r="GW77" s="15"/>
      <c r="GX77" s="15">
        <f t="shared" si="198"/>
        <v>22000</v>
      </c>
      <c r="GZ77" s="15"/>
      <c r="HA77" s="189">
        <f t="shared" si="199"/>
        <v>22000</v>
      </c>
      <c r="HC77" s="189">
        <v>16911</v>
      </c>
      <c r="HE77" s="15">
        <v>20000</v>
      </c>
      <c r="HF77" s="235">
        <f t="shared" si="200"/>
        <v>1.182662172550411</v>
      </c>
    </row>
    <row r="78" spans="1:214" outlineLevel="1">
      <c r="A78" s="1" t="s">
        <v>141</v>
      </c>
      <c r="B78" s="1" t="s">
        <v>150</v>
      </c>
      <c r="C78" s="4" t="s">
        <v>151</v>
      </c>
      <c r="D78" s="43">
        <v>2000</v>
      </c>
      <c r="E78" s="34">
        <v>110</v>
      </c>
      <c r="F78" s="43">
        <v>2000</v>
      </c>
      <c r="G78" s="34">
        <v>110</v>
      </c>
      <c r="H78" s="46">
        <v>2200</v>
      </c>
      <c r="I78" s="36">
        <v>2200</v>
      </c>
      <c r="J78" s="14"/>
      <c r="K78" t="s">
        <v>332</v>
      </c>
      <c r="L78" s="121">
        <f>'[2]2020'!$Q$70</f>
        <v>2000</v>
      </c>
      <c r="M78" s="17">
        <f t="shared" si="149"/>
        <v>0</v>
      </c>
      <c r="N78" s="17">
        <f t="shared" si="150"/>
        <v>-9.0909090909090939E-2</v>
      </c>
      <c r="Q78" s="118">
        <v>2000</v>
      </c>
      <c r="R78" s="15">
        <v>1600</v>
      </c>
      <c r="S78" s="118">
        <v>2100</v>
      </c>
      <c r="T78" s="157">
        <f>S78-Q78</f>
        <v>100</v>
      </c>
      <c r="U78" s="16">
        <f>S78/Q78-1</f>
        <v>5.0000000000000044E-2</v>
      </c>
      <c r="Y78" s="118">
        <v>4000</v>
      </c>
      <c r="AA78" s="118">
        <v>4000</v>
      </c>
      <c r="AB78" s="185">
        <f t="shared" ref="AB78:AB80" si="203">AA78-Y78</f>
        <v>0</v>
      </c>
      <c r="AC78" s="187">
        <f t="shared" si="156"/>
        <v>0</v>
      </c>
      <c r="AD78" s="187"/>
      <c r="AE78" s="118">
        <v>4300</v>
      </c>
      <c r="AF78" s="182">
        <f>AE78-AA78</f>
        <v>300</v>
      </c>
      <c r="AH78" s="15">
        <v>4219</v>
      </c>
      <c r="AI78" s="17">
        <f t="shared" si="201"/>
        <v>0.98116279069767443</v>
      </c>
      <c r="AK78" s="118">
        <v>5000</v>
      </c>
      <c r="AS78" s="15">
        <f t="shared" si="202"/>
        <v>5000</v>
      </c>
      <c r="AV78" s="15">
        <f t="shared" si="157"/>
        <v>5000</v>
      </c>
      <c r="AX78" s="15"/>
      <c r="AY78" s="15">
        <f t="shared" si="158"/>
        <v>5000</v>
      </c>
      <c r="BA78" s="227">
        <v>5000</v>
      </c>
      <c r="BB78" s="15">
        <f t="shared" si="159"/>
        <v>10000</v>
      </c>
      <c r="BD78" s="15"/>
      <c r="BE78" s="15">
        <f t="shared" si="160"/>
        <v>10000</v>
      </c>
      <c r="BG78" s="15"/>
      <c r="BH78" s="15">
        <f t="shared" si="161"/>
        <v>10000</v>
      </c>
      <c r="BJ78" s="15">
        <v>9075.43</v>
      </c>
      <c r="BK78" s="235">
        <f t="shared" si="162"/>
        <v>0.90754299999999999</v>
      </c>
      <c r="BM78" s="15">
        <v>10000</v>
      </c>
      <c r="BN78" s="235">
        <f t="shared" si="163"/>
        <v>1.1018761645453714</v>
      </c>
      <c r="BO78" s="235">
        <f t="shared" si="164"/>
        <v>1</v>
      </c>
      <c r="BQ78" s="15"/>
      <c r="BR78" s="15">
        <f>BM78+BQ78</f>
        <v>10000</v>
      </c>
      <c r="BT78" s="15"/>
      <c r="BU78" s="15">
        <f>BR78+BT78</f>
        <v>10000</v>
      </c>
      <c r="BW78" s="15"/>
      <c r="BX78" s="15">
        <f>BU78+BW78</f>
        <v>10000</v>
      </c>
      <c r="BZ78" s="15"/>
      <c r="CA78" s="15">
        <f>BX78+BZ78</f>
        <v>10000</v>
      </c>
      <c r="CC78" s="15"/>
      <c r="CD78" s="15">
        <f>CA78+CC78</f>
        <v>10000</v>
      </c>
      <c r="CF78" s="15">
        <v>1000</v>
      </c>
      <c r="CG78" s="15">
        <f>CD78+CF78</f>
        <v>11000</v>
      </c>
      <c r="CI78" s="15"/>
      <c r="CJ78" s="15">
        <f>CG78+CI78</f>
        <v>11000</v>
      </c>
      <c r="CL78" s="15">
        <v>2000</v>
      </c>
      <c r="CM78" s="15">
        <f>CJ78+CL78</f>
        <v>13000</v>
      </c>
      <c r="CO78" s="15">
        <v>9500</v>
      </c>
      <c r="CP78" s="15">
        <f t="shared" si="165"/>
        <v>22500</v>
      </c>
      <c r="CS78" s="15">
        <f t="shared" si="166"/>
        <v>22500</v>
      </c>
      <c r="CU78" s="227">
        <v>-3500</v>
      </c>
      <c r="CV78" s="15">
        <f t="shared" si="167"/>
        <v>19000</v>
      </c>
      <c r="CX78" s="227"/>
      <c r="CY78" s="15">
        <f t="shared" si="168"/>
        <v>19000</v>
      </c>
      <c r="DA78" s="15">
        <v>18953.39</v>
      </c>
      <c r="DC78" s="15">
        <v>20000</v>
      </c>
      <c r="DE78" s="15"/>
      <c r="DF78" s="15">
        <f t="shared" si="169"/>
        <v>20000</v>
      </c>
      <c r="DH78" s="15"/>
      <c r="DI78" s="15">
        <f t="shared" si="170"/>
        <v>20000</v>
      </c>
      <c r="DK78" s="15"/>
      <c r="DL78" s="15">
        <f t="shared" si="171"/>
        <v>20000</v>
      </c>
      <c r="DN78" s="15"/>
      <c r="DO78" s="15">
        <f t="shared" si="172"/>
        <v>20000</v>
      </c>
      <c r="DQ78" s="227">
        <v>-4000</v>
      </c>
      <c r="DR78" s="15">
        <f t="shared" si="173"/>
        <v>16000</v>
      </c>
      <c r="DT78" s="15"/>
      <c r="DU78" s="15">
        <f t="shared" si="174"/>
        <v>16000</v>
      </c>
      <c r="DW78" s="15"/>
      <c r="DX78" s="15">
        <f t="shared" si="175"/>
        <v>16000</v>
      </c>
      <c r="DZ78" s="15"/>
      <c r="EA78" s="15">
        <f t="shared" si="176"/>
        <v>16000</v>
      </c>
      <c r="EC78" s="15"/>
      <c r="ED78" s="15">
        <f t="shared" si="177"/>
        <v>16000</v>
      </c>
      <c r="EF78" s="227">
        <v>-10000</v>
      </c>
      <c r="EG78" s="15">
        <f t="shared" si="178"/>
        <v>6000</v>
      </c>
      <c r="EI78" s="15">
        <v>5346</v>
      </c>
      <c r="EK78" s="15">
        <v>10000</v>
      </c>
      <c r="EM78" s="15"/>
      <c r="EN78" s="15">
        <f t="shared" si="179"/>
        <v>10000</v>
      </c>
      <c r="EP78" s="15"/>
      <c r="EQ78" s="15">
        <f t="shared" si="180"/>
        <v>10000</v>
      </c>
      <c r="ES78" s="15"/>
      <c r="ET78" s="15">
        <f t="shared" si="181"/>
        <v>10000</v>
      </c>
      <c r="EW78" s="15">
        <f t="shared" si="182"/>
        <v>10000</v>
      </c>
      <c r="EZ78" s="15">
        <f t="shared" si="183"/>
        <v>10000</v>
      </c>
      <c r="FC78" s="15">
        <f t="shared" si="184"/>
        <v>10000</v>
      </c>
      <c r="FF78" s="15">
        <f t="shared" si="185"/>
        <v>10000</v>
      </c>
      <c r="FI78" s="15">
        <f t="shared" si="186"/>
        <v>10000</v>
      </c>
      <c r="FL78" s="15">
        <f>FI78+FK78</f>
        <v>10000</v>
      </c>
      <c r="FO78" s="15">
        <f>FL78+FN78</f>
        <v>10000</v>
      </c>
      <c r="FQ78" s="227">
        <v>-4500</v>
      </c>
      <c r="FR78" s="15">
        <v>5500</v>
      </c>
      <c r="FT78" s="15">
        <v>5340.6</v>
      </c>
      <c r="FV78" s="15">
        <v>5500</v>
      </c>
      <c r="FW78" s="235">
        <f t="shared" si="189"/>
        <v>1.0298468336890985</v>
      </c>
      <c r="FZ78" s="15">
        <f t="shared" si="190"/>
        <v>5500</v>
      </c>
      <c r="GB78" s="15"/>
      <c r="GC78" s="15">
        <f t="shared" si="191"/>
        <v>5500</v>
      </c>
      <c r="GE78" s="15"/>
      <c r="GF78" s="15">
        <f t="shared" si="192"/>
        <v>5500</v>
      </c>
      <c r="GH78" s="15"/>
      <c r="GI78" s="15">
        <f t="shared" si="193"/>
        <v>5500</v>
      </c>
      <c r="GK78" s="15"/>
      <c r="GL78" s="15">
        <f t="shared" si="194"/>
        <v>5500</v>
      </c>
      <c r="GN78" s="15"/>
      <c r="GO78" s="15">
        <f t="shared" si="195"/>
        <v>5500</v>
      </c>
      <c r="GQ78" s="15"/>
      <c r="GR78" s="15">
        <f t="shared" si="196"/>
        <v>5500</v>
      </c>
      <c r="GT78" s="15"/>
      <c r="GU78" s="15">
        <f t="shared" si="197"/>
        <v>5500</v>
      </c>
      <c r="GW78" s="15"/>
      <c r="GX78" s="15">
        <f t="shared" si="198"/>
        <v>5500</v>
      </c>
      <c r="GZ78" s="15"/>
      <c r="HA78" s="189">
        <f t="shared" si="199"/>
        <v>5500</v>
      </c>
      <c r="HC78" s="189">
        <v>3983</v>
      </c>
      <c r="HE78" s="15">
        <v>5500</v>
      </c>
      <c r="HF78" s="235">
        <f t="shared" si="200"/>
        <v>1.3808686919407482</v>
      </c>
    </row>
    <row r="79" spans="1:214" outlineLevel="1">
      <c r="A79" s="1" t="s">
        <v>141</v>
      </c>
      <c r="B79" s="1" t="s">
        <v>107</v>
      </c>
      <c r="C79" s="4" t="s">
        <v>108</v>
      </c>
      <c r="D79" s="43"/>
      <c r="E79" s="34"/>
      <c r="F79" s="43"/>
      <c r="G79" s="34"/>
      <c r="H79" s="46"/>
      <c r="I79" s="36"/>
      <c r="J79" s="14"/>
      <c r="L79" s="121"/>
      <c r="M79" s="17"/>
      <c r="N79" s="17"/>
      <c r="T79" s="157"/>
      <c r="U79" s="16"/>
      <c r="Y79" s="118"/>
      <c r="AB79" s="185"/>
      <c r="AC79" s="187"/>
      <c r="AD79" s="187"/>
      <c r="AF79" s="182"/>
      <c r="AH79" s="15"/>
      <c r="AI79" s="17"/>
      <c r="AS79" s="15"/>
      <c r="AV79" s="15"/>
      <c r="AX79" s="15"/>
      <c r="AY79" s="15"/>
      <c r="BA79" s="227"/>
      <c r="BB79" s="15"/>
      <c r="BD79" s="15"/>
      <c r="BE79" s="15"/>
      <c r="BG79" s="15"/>
      <c r="BH79" s="15"/>
      <c r="BK79" s="235"/>
      <c r="BM79" s="15"/>
      <c r="BN79" s="235"/>
      <c r="BO79" s="235"/>
      <c r="BQ79" s="15"/>
      <c r="BR79" s="15"/>
      <c r="BT79" s="15"/>
      <c r="BU79" s="15"/>
      <c r="BW79" s="15"/>
      <c r="BX79" s="15"/>
      <c r="BZ79" s="15"/>
      <c r="CA79" s="15"/>
      <c r="CC79" s="15"/>
      <c r="CD79" s="15"/>
      <c r="CF79" s="15"/>
      <c r="CG79" s="15"/>
      <c r="CI79" s="15"/>
      <c r="CJ79" s="15"/>
      <c r="CM79" s="15"/>
      <c r="CP79" s="15"/>
      <c r="CS79" s="15"/>
      <c r="CU79" s="227"/>
      <c r="CV79" s="15"/>
      <c r="CX79" s="227"/>
      <c r="CY79" s="15"/>
      <c r="DE79" s="15"/>
      <c r="DF79" s="15"/>
      <c r="DH79" s="227">
        <v>3500</v>
      </c>
      <c r="DI79" s="15">
        <f t="shared" si="170"/>
        <v>3500</v>
      </c>
      <c r="DK79" s="15"/>
      <c r="DL79" s="15">
        <f t="shared" si="171"/>
        <v>3500</v>
      </c>
      <c r="DN79" s="15"/>
      <c r="DO79" s="15">
        <f t="shared" si="172"/>
        <v>3500</v>
      </c>
      <c r="DQ79" s="15"/>
      <c r="DR79" s="15">
        <f t="shared" si="173"/>
        <v>3500</v>
      </c>
      <c r="DT79" s="15"/>
      <c r="DU79" s="15">
        <f t="shared" si="174"/>
        <v>3500</v>
      </c>
      <c r="DW79" s="15"/>
      <c r="DX79" s="15">
        <f t="shared" si="175"/>
        <v>3500</v>
      </c>
      <c r="DZ79" s="15"/>
      <c r="EA79" s="15">
        <f t="shared" si="176"/>
        <v>3500</v>
      </c>
      <c r="EC79" s="15"/>
      <c r="ED79" s="15">
        <f t="shared" si="177"/>
        <v>3500</v>
      </c>
      <c r="EF79" s="15"/>
      <c r="EG79" s="15">
        <f t="shared" si="178"/>
        <v>3500</v>
      </c>
      <c r="EI79" s="15">
        <v>3500</v>
      </c>
      <c r="EK79" s="15">
        <v>0</v>
      </c>
      <c r="EM79" s="15"/>
      <c r="EN79" s="15">
        <f t="shared" si="179"/>
        <v>0</v>
      </c>
      <c r="EP79" s="15"/>
      <c r="EQ79" s="15">
        <f t="shared" si="180"/>
        <v>0</v>
      </c>
      <c r="ES79" s="15"/>
      <c r="ET79" s="15">
        <f t="shared" si="181"/>
        <v>0</v>
      </c>
      <c r="EW79" s="15">
        <f t="shared" si="182"/>
        <v>0</v>
      </c>
      <c r="EZ79" s="15">
        <f t="shared" si="183"/>
        <v>0</v>
      </c>
      <c r="FC79" s="15">
        <f t="shared" si="184"/>
        <v>0</v>
      </c>
      <c r="FF79" s="15">
        <f t="shared" si="185"/>
        <v>0</v>
      </c>
      <c r="FI79" s="15">
        <f t="shared" si="186"/>
        <v>0</v>
      </c>
      <c r="FL79" s="15">
        <f t="shared" si="187"/>
        <v>0</v>
      </c>
      <c r="FO79" s="15">
        <f t="shared" ref="FO79:FO80" si="204">FL79+FN79</f>
        <v>0</v>
      </c>
      <c r="FR79" s="15">
        <v>0</v>
      </c>
      <c r="FW79" s="235" t="e">
        <f t="shared" si="189"/>
        <v>#DIV/0!</v>
      </c>
      <c r="FZ79" s="15">
        <f t="shared" si="190"/>
        <v>0</v>
      </c>
      <c r="GB79" s="227">
        <v>5000</v>
      </c>
      <c r="GC79" s="15">
        <f t="shared" si="191"/>
        <v>5000</v>
      </c>
      <c r="GE79" s="15"/>
      <c r="GF79" s="15">
        <f t="shared" si="192"/>
        <v>5000</v>
      </c>
      <c r="GH79" s="15"/>
      <c r="GI79" s="15">
        <f t="shared" si="193"/>
        <v>5000</v>
      </c>
      <c r="GK79" s="15"/>
      <c r="GL79" s="15">
        <f t="shared" si="194"/>
        <v>5000</v>
      </c>
      <c r="GN79" s="15"/>
      <c r="GO79" s="15">
        <f t="shared" si="195"/>
        <v>5000</v>
      </c>
      <c r="GQ79" s="15"/>
      <c r="GR79" s="15">
        <f t="shared" si="196"/>
        <v>5000</v>
      </c>
      <c r="GT79" s="15"/>
      <c r="GU79" s="15">
        <f t="shared" si="197"/>
        <v>5000</v>
      </c>
      <c r="GW79" s="15"/>
      <c r="GX79" s="15">
        <f t="shared" si="198"/>
        <v>5000</v>
      </c>
      <c r="GZ79" s="15"/>
      <c r="HA79" s="189">
        <f t="shared" si="199"/>
        <v>5000</v>
      </c>
      <c r="HC79" s="189">
        <v>5000</v>
      </c>
      <c r="HE79" s="15">
        <v>0</v>
      </c>
      <c r="HF79" s="235">
        <f t="shared" si="200"/>
        <v>0</v>
      </c>
    </row>
    <row r="80" spans="1:214" outlineLevel="1">
      <c r="A80" s="1" t="s">
        <v>141</v>
      </c>
      <c r="B80" s="1" t="s">
        <v>152</v>
      </c>
      <c r="C80" s="4" t="s">
        <v>153</v>
      </c>
      <c r="D80" s="43">
        <v>20000</v>
      </c>
      <c r="E80" s="34">
        <v>0</v>
      </c>
      <c r="F80" s="43">
        <v>20000</v>
      </c>
      <c r="G80" s="34">
        <v>0</v>
      </c>
      <c r="H80" s="46">
        <v>0</v>
      </c>
      <c r="I80" s="36">
        <v>20000</v>
      </c>
      <c r="J80" s="14"/>
      <c r="K80" t="s">
        <v>332</v>
      </c>
      <c r="L80" s="118">
        <f>'[2]2020'!$Q$69</f>
        <v>20000</v>
      </c>
      <c r="M80" s="17">
        <f t="shared" si="149"/>
        <v>0</v>
      </c>
      <c r="N80" s="17">
        <f t="shared" si="150"/>
        <v>0</v>
      </c>
      <c r="Q80" s="118">
        <v>20000</v>
      </c>
      <c r="R80" s="15">
        <v>0</v>
      </c>
      <c r="S80" s="118">
        <v>20000</v>
      </c>
      <c r="T80" s="157">
        <f>S80-Q80</f>
        <v>0</v>
      </c>
      <c r="U80" s="16">
        <f>S80/Q80-1</f>
        <v>0</v>
      </c>
      <c r="Y80" s="118">
        <v>35000</v>
      </c>
      <c r="AA80" s="118">
        <v>35000</v>
      </c>
      <c r="AB80" s="185">
        <f t="shared" si="203"/>
        <v>0</v>
      </c>
      <c r="AC80" s="187">
        <f t="shared" si="156"/>
        <v>0</v>
      </c>
      <c r="AD80" s="187"/>
      <c r="AE80" s="118">
        <v>35000</v>
      </c>
      <c r="AF80" s="182"/>
      <c r="AH80" s="15">
        <v>35000</v>
      </c>
      <c r="AI80" s="17">
        <f t="shared" si="201"/>
        <v>1</v>
      </c>
      <c r="AK80" s="118">
        <v>10000</v>
      </c>
      <c r="AS80" s="15">
        <f t="shared" si="202"/>
        <v>10000</v>
      </c>
      <c r="AV80" s="15">
        <f t="shared" si="157"/>
        <v>10000</v>
      </c>
      <c r="AX80" s="15"/>
      <c r="AY80" s="15">
        <f t="shared" si="158"/>
        <v>10000</v>
      </c>
      <c r="BA80" s="227">
        <v>-10000</v>
      </c>
      <c r="BB80" s="15">
        <f t="shared" si="159"/>
        <v>0</v>
      </c>
      <c r="BD80" s="15"/>
      <c r="BE80" s="15">
        <f t="shared" si="160"/>
        <v>0</v>
      </c>
      <c r="BG80" s="15">
        <v>4000</v>
      </c>
      <c r="BH80" s="15">
        <f t="shared" si="161"/>
        <v>4000</v>
      </c>
      <c r="BJ80" s="15">
        <v>4000</v>
      </c>
      <c r="BK80" s="235">
        <f t="shared" si="162"/>
        <v>1</v>
      </c>
      <c r="BM80" s="15">
        <v>15000</v>
      </c>
      <c r="BN80" s="235">
        <f t="shared" si="163"/>
        <v>3.75</v>
      </c>
      <c r="BO80" s="235">
        <f t="shared" si="164"/>
        <v>3.75</v>
      </c>
      <c r="BQ80" s="15"/>
      <c r="BR80" s="15">
        <f>BM80+BQ80</f>
        <v>15000</v>
      </c>
      <c r="BT80" s="15"/>
      <c r="BU80" s="15">
        <f>BR80+BT80</f>
        <v>15000</v>
      </c>
      <c r="BW80" s="15"/>
      <c r="BX80" s="15">
        <f>BU80+BW80</f>
        <v>15000</v>
      </c>
      <c r="BZ80" s="15"/>
      <c r="CA80" s="15">
        <f>BX80+BZ80</f>
        <v>15000</v>
      </c>
      <c r="CC80" s="15"/>
      <c r="CD80" s="15">
        <f>CA80+CC80</f>
        <v>15000</v>
      </c>
      <c r="CF80" s="15"/>
      <c r="CG80" s="15">
        <f>CD80+CF80</f>
        <v>15000</v>
      </c>
      <c r="CI80" s="15"/>
      <c r="CJ80" s="15">
        <f>CG80+CI80</f>
        <v>15000</v>
      </c>
      <c r="CL80" s="15">
        <v>5000</v>
      </c>
      <c r="CM80" s="15">
        <f>CJ80+CL80</f>
        <v>20000</v>
      </c>
      <c r="CO80" s="15">
        <v>5500</v>
      </c>
      <c r="CP80" s="15">
        <f t="shared" si="165"/>
        <v>25500</v>
      </c>
      <c r="CS80" s="15">
        <f t="shared" si="166"/>
        <v>25500</v>
      </c>
      <c r="CV80" s="15">
        <f t="shared" si="167"/>
        <v>25500</v>
      </c>
      <c r="CY80" s="15">
        <f t="shared" si="168"/>
        <v>25500</v>
      </c>
      <c r="DA80" s="15">
        <v>25200</v>
      </c>
      <c r="DC80" s="15">
        <v>25000</v>
      </c>
      <c r="DE80" s="15"/>
      <c r="DF80" s="15">
        <f t="shared" si="169"/>
        <v>25000</v>
      </c>
      <c r="DH80" s="15"/>
      <c r="DI80" s="15">
        <f t="shared" si="170"/>
        <v>25000</v>
      </c>
      <c r="DK80" s="15"/>
      <c r="DL80" s="15">
        <f t="shared" si="171"/>
        <v>25000</v>
      </c>
      <c r="DN80" s="15"/>
      <c r="DO80" s="15">
        <f t="shared" si="172"/>
        <v>25000</v>
      </c>
      <c r="DQ80" s="15"/>
      <c r="DR80" s="15">
        <f t="shared" si="173"/>
        <v>25000</v>
      </c>
      <c r="DT80" s="15"/>
      <c r="DU80" s="15">
        <f t="shared" si="174"/>
        <v>25000</v>
      </c>
      <c r="DW80" s="15"/>
      <c r="DX80" s="15">
        <f t="shared" si="175"/>
        <v>25000</v>
      </c>
      <c r="DZ80" s="15"/>
      <c r="EA80" s="15">
        <f t="shared" si="176"/>
        <v>25000</v>
      </c>
      <c r="EC80" s="15"/>
      <c r="ED80" s="15">
        <f t="shared" si="177"/>
        <v>25000</v>
      </c>
      <c r="EF80" s="227">
        <v>-2000</v>
      </c>
      <c r="EG80" s="15">
        <f t="shared" si="178"/>
        <v>23000</v>
      </c>
      <c r="EI80" s="15">
        <v>22224</v>
      </c>
      <c r="EK80" s="15">
        <v>23000</v>
      </c>
      <c r="EM80" s="15"/>
      <c r="EN80" s="15">
        <f t="shared" si="179"/>
        <v>23000</v>
      </c>
      <c r="EP80" s="15"/>
      <c r="EQ80" s="15">
        <f t="shared" si="180"/>
        <v>23000</v>
      </c>
      <c r="ES80" s="15"/>
      <c r="ET80" s="15">
        <f t="shared" si="181"/>
        <v>23000</v>
      </c>
      <c r="EW80" s="15">
        <f t="shared" si="182"/>
        <v>23000</v>
      </c>
      <c r="EZ80" s="15">
        <f t="shared" si="183"/>
        <v>23000</v>
      </c>
      <c r="FC80" s="15">
        <f t="shared" si="184"/>
        <v>23000</v>
      </c>
      <c r="FF80" s="15">
        <f t="shared" si="185"/>
        <v>23000</v>
      </c>
      <c r="FI80" s="15">
        <f t="shared" si="186"/>
        <v>23000</v>
      </c>
      <c r="FL80" s="15">
        <f t="shared" si="187"/>
        <v>23000</v>
      </c>
      <c r="FN80" s="227">
        <v>4000</v>
      </c>
      <c r="FO80" s="15">
        <f t="shared" si="204"/>
        <v>27000</v>
      </c>
      <c r="FR80" s="15">
        <v>27000</v>
      </c>
      <c r="FT80" s="15">
        <v>26132</v>
      </c>
      <c r="FV80" s="15">
        <v>12000</v>
      </c>
      <c r="FW80" s="235">
        <f t="shared" si="189"/>
        <v>0.45920710240318385</v>
      </c>
      <c r="FZ80" s="15">
        <f t="shared" si="190"/>
        <v>12000</v>
      </c>
      <c r="GB80" s="227">
        <v>-5033</v>
      </c>
      <c r="GC80" s="15">
        <f t="shared" si="191"/>
        <v>6967</v>
      </c>
      <c r="GE80" s="227">
        <v>5033</v>
      </c>
      <c r="GF80" s="15">
        <f t="shared" si="192"/>
        <v>12000</v>
      </c>
      <c r="GH80" s="15"/>
      <c r="GI80" s="15">
        <f t="shared" si="193"/>
        <v>12000</v>
      </c>
      <c r="GK80" s="15"/>
      <c r="GL80" s="15">
        <f t="shared" si="194"/>
        <v>12000</v>
      </c>
      <c r="GN80" s="15"/>
      <c r="GO80" s="15">
        <f t="shared" si="195"/>
        <v>12000</v>
      </c>
      <c r="GQ80" s="15"/>
      <c r="GR80" s="15">
        <f t="shared" si="196"/>
        <v>12000</v>
      </c>
      <c r="GT80" s="227">
        <v>5500</v>
      </c>
      <c r="GU80" s="15">
        <f t="shared" si="197"/>
        <v>17500</v>
      </c>
      <c r="GW80" s="15"/>
      <c r="GX80" s="15">
        <f t="shared" si="198"/>
        <v>17500</v>
      </c>
      <c r="GZ80" s="15"/>
      <c r="HA80" s="189">
        <f t="shared" si="199"/>
        <v>17500</v>
      </c>
      <c r="HC80" s="189">
        <v>13600</v>
      </c>
      <c r="HE80" s="15">
        <v>15000</v>
      </c>
      <c r="HF80" s="235">
        <f t="shared" si="200"/>
        <v>1.1029411764705883</v>
      </c>
    </row>
    <row r="81" spans="1:214" outlineLevel="1">
      <c r="A81" s="1" t="s">
        <v>141</v>
      </c>
      <c r="B81" s="1" t="s">
        <v>199</v>
      </c>
      <c r="C81" s="4" t="s">
        <v>200</v>
      </c>
      <c r="D81" s="43"/>
      <c r="E81" s="34"/>
      <c r="F81" s="43"/>
      <c r="G81" s="34"/>
      <c r="H81" s="46"/>
      <c r="I81" s="36"/>
      <c r="J81" s="14"/>
      <c r="M81" s="17"/>
      <c r="N81" s="17"/>
      <c r="T81" s="157"/>
      <c r="U81" s="16"/>
      <c r="Y81" s="118"/>
      <c r="AB81" s="185"/>
      <c r="AC81" s="187"/>
      <c r="AD81" s="187"/>
      <c r="AF81" s="182"/>
      <c r="AH81" s="15"/>
      <c r="AI81" s="17"/>
      <c r="AS81" s="15"/>
      <c r="AV81" s="15"/>
      <c r="AX81" s="15"/>
      <c r="AY81" s="15"/>
      <c r="BA81" s="227"/>
      <c r="BB81" s="15"/>
      <c r="BD81" s="15"/>
      <c r="BE81" s="15"/>
      <c r="BG81" s="15"/>
      <c r="BH81" s="15"/>
      <c r="BK81" s="235"/>
      <c r="BM81" s="15"/>
      <c r="BN81" s="235"/>
      <c r="BO81" s="235"/>
      <c r="BQ81" s="15"/>
      <c r="BR81" s="15"/>
      <c r="BT81" s="15"/>
      <c r="BU81" s="15"/>
      <c r="BW81" s="15"/>
      <c r="BX81" s="15"/>
      <c r="BZ81" s="15"/>
      <c r="CA81" s="15"/>
      <c r="CC81" s="15"/>
      <c r="CD81" s="15"/>
      <c r="CF81" s="15"/>
      <c r="CG81" s="15"/>
      <c r="CI81" s="15"/>
      <c r="CJ81" s="15"/>
      <c r="CM81" s="15"/>
      <c r="CO81" s="15">
        <v>50300</v>
      </c>
      <c r="CP81" s="15">
        <f t="shared" si="165"/>
        <v>50300</v>
      </c>
      <c r="CS81" s="15">
        <f t="shared" si="166"/>
        <v>50300</v>
      </c>
      <c r="CV81" s="15">
        <f t="shared" si="167"/>
        <v>50300</v>
      </c>
      <c r="CY81" s="15">
        <f t="shared" si="168"/>
        <v>50300</v>
      </c>
      <c r="DA81" s="15">
        <v>50203</v>
      </c>
      <c r="DC81" s="15">
        <v>0</v>
      </c>
      <c r="DE81" s="15"/>
      <c r="DF81" s="15"/>
      <c r="DH81" s="15"/>
      <c r="DI81" s="15"/>
      <c r="DK81" s="15"/>
      <c r="DL81" s="15"/>
      <c r="DN81" s="15"/>
      <c r="DO81" s="15"/>
      <c r="DQ81" s="15"/>
      <c r="DR81" s="15"/>
      <c r="DT81" s="15"/>
      <c r="DU81" s="15"/>
      <c r="DW81" s="15"/>
      <c r="DX81" s="15"/>
      <c r="DZ81" s="15"/>
      <c r="EA81" s="15"/>
      <c r="EC81" s="15"/>
      <c r="ED81" s="15"/>
      <c r="EF81" s="15"/>
      <c r="EG81" s="15"/>
      <c r="EK81" s="15"/>
      <c r="EM81" s="15"/>
      <c r="EN81" s="15"/>
      <c r="EP81" s="15"/>
      <c r="EQ81" s="15"/>
      <c r="ES81" s="15"/>
      <c r="ET81" s="15"/>
      <c r="EW81" s="15"/>
      <c r="EZ81" s="15"/>
      <c r="FC81" s="15"/>
      <c r="FF81" s="15"/>
      <c r="FI81" s="15"/>
      <c r="FL81" s="15"/>
      <c r="FO81" s="15"/>
      <c r="FR81" s="15"/>
      <c r="FZ81" s="15"/>
      <c r="GB81" s="15"/>
      <c r="GC81" s="15"/>
      <c r="GE81" s="15"/>
      <c r="GF81" s="15"/>
      <c r="GH81" s="15"/>
      <c r="GI81" s="15"/>
      <c r="GK81" s="15"/>
      <c r="GL81" s="15"/>
      <c r="GN81" s="15"/>
      <c r="GO81" s="15"/>
      <c r="GQ81" s="15"/>
      <c r="GR81" s="15"/>
      <c r="GT81" s="15"/>
      <c r="GU81" s="15"/>
      <c r="GW81" s="15"/>
      <c r="GX81" s="15"/>
      <c r="GZ81" s="15"/>
    </row>
    <row r="82" spans="1:214" outlineLevel="1">
      <c r="A82" s="1" t="s">
        <v>141</v>
      </c>
      <c r="B82" s="4" t="s">
        <v>46</v>
      </c>
      <c r="C82" s="4" t="s">
        <v>154</v>
      </c>
      <c r="D82" s="43">
        <v>86000</v>
      </c>
      <c r="E82" s="34">
        <v>80.540000000000006</v>
      </c>
      <c r="F82" s="43">
        <v>112836</v>
      </c>
      <c r="G82" s="34">
        <v>61.39</v>
      </c>
      <c r="H82" s="46">
        <v>69265</v>
      </c>
      <c r="I82" s="36"/>
      <c r="J82" s="14"/>
      <c r="Y82" s="118"/>
      <c r="AF82" s="182"/>
      <c r="AH82" s="15"/>
      <c r="AX82" s="15"/>
      <c r="BD82" s="15"/>
      <c r="BG82" s="15"/>
      <c r="DE82" s="15"/>
      <c r="DH82" s="15"/>
      <c r="DK82" s="15"/>
      <c r="DN82" s="15"/>
      <c r="DQ82" s="15"/>
      <c r="DT82" s="15"/>
      <c r="DW82" s="15"/>
      <c r="DZ82" s="15"/>
      <c r="EC82" s="15"/>
      <c r="EF82" s="15"/>
      <c r="EK82" s="15"/>
      <c r="EM82" s="15"/>
      <c r="EP82" s="15"/>
      <c r="ES82" s="15"/>
      <c r="GB82" s="15"/>
      <c r="GE82" s="15"/>
      <c r="GH82" s="15"/>
      <c r="GK82" s="15"/>
      <c r="GN82" s="15"/>
      <c r="GQ82" s="15"/>
      <c r="GT82" s="15"/>
      <c r="GW82" s="15"/>
      <c r="GZ82" s="15"/>
    </row>
    <row r="83" spans="1:214" outlineLevel="1">
      <c r="A83" s="1" t="s">
        <v>155</v>
      </c>
      <c r="B83" s="4" t="s">
        <v>48</v>
      </c>
      <c r="C83" s="4" t="s">
        <v>156</v>
      </c>
      <c r="D83" s="43">
        <v>86000</v>
      </c>
      <c r="E83" s="34">
        <v>80.540000000000006</v>
      </c>
      <c r="F83" s="43">
        <v>112836</v>
      </c>
      <c r="G83" s="34">
        <v>61.39</v>
      </c>
      <c r="H83" s="46">
        <v>69265</v>
      </c>
      <c r="I83" s="36"/>
      <c r="J83" s="14"/>
      <c r="Y83" s="118"/>
      <c r="AF83" s="182"/>
      <c r="AH83" s="15"/>
      <c r="AX83" s="15"/>
      <c r="BD83" s="15"/>
      <c r="BG83" s="15"/>
      <c r="DE83" s="15"/>
      <c r="DH83" s="15"/>
      <c r="DK83" s="15"/>
      <c r="DN83" s="15"/>
      <c r="DQ83" s="15"/>
      <c r="DT83" s="15"/>
      <c r="DW83" s="15"/>
      <c r="DZ83" s="15"/>
      <c r="EC83" s="15"/>
      <c r="EF83" s="15"/>
      <c r="EK83" s="15"/>
      <c r="EM83" s="15"/>
      <c r="EP83" s="15"/>
      <c r="ES83" s="15"/>
      <c r="GB83" s="15"/>
      <c r="GE83" s="15"/>
      <c r="GH83" s="15"/>
      <c r="GK83" s="15"/>
      <c r="GN83" s="15"/>
      <c r="GQ83" s="15"/>
      <c r="GT83" s="15"/>
      <c r="GW83" s="15"/>
      <c r="GZ83" s="15"/>
    </row>
    <row r="84" spans="1:214" ht="16.5" customHeight="1" thickBot="1">
      <c r="A84" s="54" t="s">
        <v>141</v>
      </c>
      <c r="B84" s="55" t="s">
        <v>316</v>
      </c>
      <c r="C84" s="55" t="s">
        <v>320</v>
      </c>
      <c r="D84" s="57">
        <f>SUM(D72:D80)</f>
        <v>86000</v>
      </c>
      <c r="E84" s="58"/>
      <c r="F84" s="57">
        <f>SUM(F72:F80)</f>
        <v>112836</v>
      </c>
      <c r="G84" s="58"/>
      <c r="H84" s="57"/>
      <c r="I84" s="57">
        <f>SUM(I72:I80)</f>
        <v>96136</v>
      </c>
      <c r="J84" s="138" t="e">
        <f>I84/$I$350</f>
        <v>#REF!</v>
      </c>
      <c r="K84" s="60"/>
      <c r="L84" s="122">
        <f>SUM(L72:L80)</f>
        <v>79000</v>
      </c>
      <c r="M84" s="61">
        <f>L84/F84-1</f>
        <v>-0.29986883618703253</v>
      </c>
      <c r="N84" s="61">
        <f>L84/I84-1</f>
        <v>-0.17824748273279523</v>
      </c>
      <c r="O84" s="17">
        <f>L84/$L$350</f>
        <v>1.8329466697530706E-2</v>
      </c>
      <c r="P84" s="17"/>
      <c r="Q84" s="122">
        <f>SUM(Q72:Q80)</f>
        <v>79000</v>
      </c>
      <c r="R84" s="122">
        <f>SUM(R72:R80)</f>
        <v>8352</v>
      </c>
      <c r="S84" s="122">
        <f>SUM(S72:S80)</f>
        <v>34040</v>
      </c>
      <c r="T84" s="122">
        <f>SUM(T72:T80)</f>
        <v>-44960</v>
      </c>
      <c r="U84" s="155">
        <f t="shared" ref="U84:U103" si="205">S84/Q84-1</f>
        <v>-0.56911392405063288</v>
      </c>
      <c r="Y84" s="122">
        <f>SUM(Y72:Y80)</f>
        <v>50940</v>
      </c>
      <c r="AA84" s="122">
        <f>SUM(AA72:AA80)</f>
        <v>46240</v>
      </c>
      <c r="AB84" s="122">
        <f>SUM(AB72:AB80)</f>
        <v>-4700</v>
      </c>
      <c r="AE84" s="122">
        <f>SUM(AE72:AE80)</f>
        <v>46540</v>
      </c>
      <c r="AF84" s="182"/>
      <c r="AH84" s="122">
        <f>SUM(AH72:AH80)</f>
        <v>45971</v>
      </c>
      <c r="AI84" s="17">
        <f t="shared" ref="AI84:AI103" si="206">AH84/AE84</f>
        <v>0.98777395788568978</v>
      </c>
      <c r="AK84" s="122">
        <f>SUM(AK72:AK80)</f>
        <v>24000</v>
      </c>
      <c r="AL84" s="193">
        <f>AK84/L84</f>
        <v>0.30379746835443039</v>
      </c>
      <c r="AM84" s="17">
        <f>AK84/AE84</f>
        <v>0.51568543188654925</v>
      </c>
      <c r="AN84" s="17">
        <f>AK84/AH84</f>
        <v>0.52206826042505061</v>
      </c>
      <c r="AS84" s="122">
        <f>SUM(AS72:AS80)</f>
        <v>24000</v>
      </c>
      <c r="AU84" s="122">
        <f>SUM(AU72:AU80)</f>
        <v>0</v>
      </c>
      <c r="AV84" s="122">
        <f>SUM(AV72:AV80)</f>
        <v>24000</v>
      </c>
      <c r="AX84" s="122">
        <f>SUM(AX72:AX80)</f>
        <v>0</v>
      </c>
      <c r="AY84" s="122">
        <f>SUM(AY72:AY80)</f>
        <v>24000</v>
      </c>
      <c r="BA84" s="122">
        <f>SUM(BA72:BA80)</f>
        <v>-9000</v>
      </c>
      <c r="BB84" s="122">
        <f>SUM(BB72:BB80)</f>
        <v>19000</v>
      </c>
      <c r="BD84" s="122">
        <f>SUM(BD72:BD80)</f>
        <v>700</v>
      </c>
      <c r="BE84" s="122">
        <f>SUM(BE72:BE80)</f>
        <v>19700</v>
      </c>
      <c r="BG84" s="122">
        <f>SUM(BG72:BG80)</f>
        <v>4000</v>
      </c>
      <c r="BH84" s="122">
        <f>SUM(BH72:BH80)</f>
        <v>23700</v>
      </c>
      <c r="BJ84" s="122">
        <f>SUM(BJ72:BJ80)</f>
        <v>20011.43</v>
      </c>
      <c r="BK84" s="236">
        <f t="shared" ref="BK84" si="207">BJ84/BH84</f>
        <v>0.84436413502109708</v>
      </c>
      <c r="BM84" s="122">
        <f>SUM(BM72:BM80)</f>
        <v>33200</v>
      </c>
      <c r="BN84" s="236">
        <f t="shared" ref="BN84" si="208">BM84/BJ84</f>
        <v>1.6590518518666582</v>
      </c>
      <c r="BO84" s="236">
        <f t="shared" ref="BO84" si="209">BM84/BH84</f>
        <v>1.4008438818565401</v>
      </c>
      <c r="BQ84" s="122">
        <f>SUM(BQ72:BQ80)</f>
        <v>0</v>
      </c>
      <c r="BR84" s="122">
        <f>SUM(BR72:BR80)</f>
        <v>33200</v>
      </c>
      <c r="BT84" s="122">
        <f>SUM(BT72:BT80)</f>
        <v>10000</v>
      </c>
      <c r="BU84" s="122">
        <f>SUM(BU72:BU80)</f>
        <v>43200</v>
      </c>
      <c r="BW84" s="122">
        <f>SUM(BW72:BW80)</f>
        <v>0</v>
      </c>
      <c r="BX84" s="122">
        <f>SUM(BX72:BX80)</f>
        <v>43200</v>
      </c>
      <c r="BZ84" s="122">
        <f>SUM(BZ72:BZ80)</f>
        <v>0</v>
      </c>
      <c r="CA84" s="122">
        <f>SUM(CA72:CA80)</f>
        <v>43200</v>
      </c>
      <c r="CC84" s="122">
        <f>SUM(CC72:CC80)</f>
        <v>0</v>
      </c>
      <c r="CD84" s="122">
        <f>SUM(CD72:CD80)</f>
        <v>43200</v>
      </c>
      <c r="CF84" s="122">
        <f>SUM(CF72:CF80)</f>
        <v>1000</v>
      </c>
      <c r="CG84" s="122">
        <f>SUM(CG72:CG80)</f>
        <v>44200</v>
      </c>
      <c r="CI84" s="122">
        <f>SUM(CI72:CI80)</f>
        <v>0</v>
      </c>
      <c r="CJ84" s="122">
        <f>SUM(CJ72:CJ80)</f>
        <v>44200</v>
      </c>
      <c r="CL84" s="319">
        <f>SUM(CL72:CL80)</f>
        <v>12000</v>
      </c>
      <c r="CM84" s="122">
        <f>SUM(CM72:CM80)</f>
        <v>56200</v>
      </c>
      <c r="CO84" s="122">
        <f>SUM(CO72:CO80)</f>
        <v>15500</v>
      </c>
      <c r="CP84" s="122">
        <f>SUM(CP72:CP80)</f>
        <v>71700</v>
      </c>
      <c r="CR84" s="122">
        <f>SUM(CR72:CR80)</f>
        <v>0</v>
      </c>
      <c r="CS84" s="122">
        <f>SUM(CS72:CS80)</f>
        <v>71700</v>
      </c>
      <c r="CU84" s="122">
        <f>SUM(CU72:CU80)</f>
        <v>-9200</v>
      </c>
      <c r="CV84" s="122">
        <f>SUM(CV72:CV80)</f>
        <v>62500</v>
      </c>
      <c r="CX84" s="122">
        <f>SUM(CX72:CX80)</f>
        <v>0</v>
      </c>
      <c r="CY84" s="122">
        <f>SUM(CY72:CY80)</f>
        <v>62500</v>
      </c>
      <c r="DA84" s="122">
        <f>SUM(DA72:DA80)</f>
        <v>62077.39</v>
      </c>
      <c r="DC84" s="122">
        <f>SUM(DC72:DC80)</f>
        <v>70000</v>
      </c>
      <c r="DE84" s="122">
        <f>SUM(DE72:DE80)</f>
        <v>0</v>
      </c>
      <c r="DF84" s="122">
        <f>SUM(DF72:DF80)</f>
        <v>70000</v>
      </c>
      <c r="DH84" s="122">
        <f>SUM(DH72:DH80)</f>
        <v>8500</v>
      </c>
      <c r="DI84" s="122">
        <f>SUM(DI72:DI80)</f>
        <v>78500</v>
      </c>
      <c r="DK84" s="122">
        <f>SUM(DK72:DK80)</f>
        <v>0</v>
      </c>
      <c r="DL84" s="122">
        <f>SUM(DL72:DL80)</f>
        <v>78500</v>
      </c>
      <c r="DN84" s="122">
        <f>SUM(DN72:DN80)</f>
        <v>0</v>
      </c>
      <c r="DO84" s="122">
        <f>SUM(DO72:DO80)</f>
        <v>78500</v>
      </c>
      <c r="DQ84" s="122">
        <f>SUM(DQ72:DQ80)</f>
        <v>0</v>
      </c>
      <c r="DR84" s="122">
        <f>SUM(DR72:DR80)</f>
        <v>78500</v>
      </c>
      <c r="DT84" s="122">
        <f>SUM(DT72:DT80)</f>
        <v>0</v>
      </c>
      <c r="DU84" s="122">
        <f>SUM(DU72:DU80)</f>
        <v>78500</v>
      </c>
      <c r="DW84" s="122">
        <f>SUM(DW72:DW80)</f>
        <v>0</v>
      </c>
      <c r="DX84" s="122">
        <f>SUM(DX72:DX80)</f>
        <v>78500</v>
      </c>
      <c r="DZ84" s="122">
        <f>SUM(DZ72:DZ80)</f>
        <v>0</v>
      </c>
      <c r="EA84" s="122">
        <f>SUM(EA72:EA80)</f>
        <v>78500</v>
      </c>
      <c r="EC84" s="122">
        <f>SUM(EC72:EC80)</f>
        <v>0</v>
      </c>
      <c r="ED84" s="122">
        <f>SUM(ED72:ED80)</f>
        <v>78500</v>
      </c>
      <c r="EF84" s="122">
        <f>SUM(EF72:EF80)</f>
        <v>-14000</v>
      </c>
      <c r="EG84" s="122">
        <f>SUM(EG72:EG80)</f>
        <v>64500</v>
      </c>
      <c r="EI84" s="122">
        <f>SUM(EI72:EI80)</f>
        <v>61627</v>
      </c>
      <c r="EK84" s="122">
        <f>SUM(EK72:EK80)</f>
        <v>63000</v>
      </c>
      <c r="EL84" s="377">
        <f>EK84/EI84-1</f>
        <v>2.2279195807032526E-2</v>
      </c>
      <c r="EM84" s="122">
        <f>SUM(EM72:EM80)</f>
        <v>0</v>
      </c>
      <c r="EN84" s="122">
        <f>SUM(EN72:EN80)</f>
        <v>63000</v>
      </c>
      <c r="EP84" s="122">
        <f>SUM(EP72:EP80)</f>
        <v>3000</v>
      </c>
      <c r="EQ84" s="122">
        <f>SUM(EQ72:EQ80)</f>
        <v>66000</v>
      </c>
      <c r="ES84" s="122">
        <f>SUM(ES72:ES80)</f>
        <v>0</v>
      </c>
      <c r="ET84" s="122">
        <f>SUM(ET72:ET80)</f>
        <v>66000</v>
      </c>
      <c r="EV84" s="122">
        <f>SUM(EV72:EV80)</f>
        <v>0</v>
      </c>
      <c r="EW84" s="122">
        <f>SUM(EW72:EW80)</f>
        <v>66000</v>
      </c>
      <c r="EY84" s="122">
        <f>SUM(EY72:EY80)</f>
        <v>0</v>
      </c>
      <c r="EZ84" s="122">
        <f>SUM(EZ72:EZ80)</f>
        <v>66000</v>
      </c>
      <c r="FB84" s="122">
        <f>SUM(FB72:FB80)</f>
        <v>0</v>
      </c>
      <c r="FC84" s="122">
        <f>SUM(FC72:FC80)</f>
        <v>66000</v>
      </c>
      <c r="FE84" s="122">
        <f>SUM(FE72:FE80)</f>
        <v>0</v>
      </c>
      <c r="FF84" s="122">
        <f>SUM(FF72:FF80)</f>
        <v>66000</v>
      </c>
      <c r="FH84" s="122">
        <f>SUM(FH72:FH80)</f>
        <v>0</v>
      </c>
      <c r="FI84" s="122">
        <f>SUM(FI72:FI80)</f>
        <v>66000</v>
      </c>
      <c r="FK84" s="122">
        <f>SUM(FK72:FK80)</f>
        <v>0</v>
      </c>
      <c r="FL84" s="122">
        <f>SUM(FL72:FL80)</f>
        <v>66000</v>
      </c>
      <c r="FN84" s="122">
        <f>SUM(FN72:FN80)</f>
        <v>4000</v>
      </c>
      <c r="FO84" s="122">
        <f>SUM(FO72:FO80)</f>
        <v>70000</v>
      </c>
      <c r="FQ84" s="122">
        <v>-4500</v>
      </c>
      <c r="FR84" s="122">
        <v>65500</v>
      </c>
      <c r="FT84" s="122">
        <f>SUM(FT72:FT80)</f>
        <v>58195.6</v>
      </c>
      <c r="FV84" s="122">
        <f>SUM(FV72:FV80)</f>
        <v>51000</v>
      </c>
      <c r="FW84" s="235">
        <f t="shared" ref="FW84:FW85" si="210">FV84/FT84</f>
        <v>0.87635491342988137</v>
      </c>
      <c r="FY84" s="122">
        <f>SUM(FY72:FY80)</f>
        <v>0</v>
      </c>
      <c r="FZ84" s="122">
        <f>SUM(FZ72:FZ80)</f>
        <v>51000</v>
      </c>
      <c r="GB84" s="122">
        <f>SUM(GB72:GB80)</f>
        <v>-33</v>
      </c>
      <c r="GC84" s="122">
        <f>SUM(GC72:GC80)</f>
        <v>50967</v>
      </c>
      <c r="GE84" s="122">
        <f>SUM(GE72:GE80)</f>
        <v>15033</v>
      </c>
      <c r="GF84" s="122">
        <f>SUM(GF72:GF80)</f>
        <v>66000</v>
      </c>
      <c r="GH84" s="122">
        <f>SUM(GH72:GH80)</f>
        <v>0</v>
      </c>
      <c r="GI84" s="122">
        <f>SUM(GI72:GI80)</f>
        <v>66000</v>
      </c>
      <c r="GK84" s="122">
        <f>SUM(GK72:GK80)</f>
        <v>0</v>
      </c>
      <c r="GL84" s="122">
        <f>SUM(GL72:GL80)</f>
        <v>66000</v>
      </c>
      <c r="GN84" s="122">
        <f>SUM(GN72:GN80)</f>
        <v>0</v>
      </c>
      <c r="GO84" s="122">
        <f>SUM(GO72:GO80)</f>
        <v>66000</v>
      </c>
      <c r="GQ84" s="122">
        <f>SUM(GQ72:GQ80)</f>
        <v>0</v>
      </c>
      <c r="GR84" s="122">
        <f>SUM(GR72:GR80)</f>
        <v>66000</v>
      </c>
      <c r="GT84" s="122">
        <f>SUM(GT72:GT80)</f>
        <v>5500</v>
      </c>
      <c r="GU84" s="122">
        <f>SUM(GU72:GU80)</f>
        <v>71500</v>
      </c>
      <c r="GW84" s="122">
        <f>SUM(GW72:GW80)</f>
        <v>0</v>
      </c>
      <c r="GX84" s="122">
        <f>SUM(GX72:GX80)</f>
        <v>71500</v>
      </c>
      <c r="GZ84" s="122">
        <f>SUM(GZ72:GZ80)</f>
        <v>0</v>
      </c>
      <c r="HA84" s="430">
        <f>SUM(HA72:HA80)</f>
        <v>71500</v>
      </c>
      <c r="HC84" s="122">
        <f>SUM(HC72:HC80)</f>
        <v>55574</v>
      </c>
      <c r="HE84" s="122">
        <f>SUM(HE72:HE80)</f>
        <v>58500</v>
      </c>
      <c r="HF84" s="235">
        <f>HE84/HC84</f>
        <v>1.0526505200273508</v>
      </c>
    </row>
    <row r="85" spans="1:214" ht="16.5" customHeight="1" thickTop="1" thickBot="1">
      <c r="A85" s="75" t="s">
        <v>141</v>
      </c>
      <c r="B85" s="76" t="s">
        <v>277</v>
      </c>
      <c r="C85" s="285" t="s">
        <v>320</v>
      </c>
      <c r="D85" s="323"/>
      <c r="E85" s="324"/>
      <c r="F85" s="323"/>
      <c r="G85" s="324"/>
      <c r="H85" s="323"/>
      <c r="I85" s="323"/>
      <c r="J85" s="325"/>
      <c r="K85" s="326"/>
      <c r="L85" s="327"/>
      <c r="M85" s="328"/>
      <c r="N85" s="328"/>
      <c r="O85" s="17"/>
      <c r="P85" s="17"/>
      <c r="Q85" s="327"/>
      <c r="R85" s="327"/>
      <c r="S85" s="327"/>
      <c r="T85" s="327"/>
      <c r="U85" s="155"/>
      <c r="Y85" s="327"/>
      <c r="AA85" s="327"/>
      <c r="AB85" s="327"/>
      <c r="AE85" s="327"/>
      <c r="AF85" s="182"/>
      <c r="AH85" s="327"/>
      <c r="AI85" s="17"/>
      <c r="AK85" s="327"/>
      <c r="AL85" s="193"/>
      <c r="AM85" s="17"/>
      <c r="AN85" s="17"/>
      <c r="AS85" s="327"/>
      <c r="AU85" s="327"/>
      <c r="AV85" s="327"/>
      <c r="AX85" s="327"/>
      <c r="AY85" s="327"/>
      <c r="BA85" s="327"/>
      <c r="BB85" s="327"/>
      <c r="BD85" s="327"/>
      <c r="BE85" s="327"/>
      <c r="BG85" s="327"/>
      <c r="BH85" s="327"/>
      <c r="BJ85" s="327"/>
      <c r="BK85" s="329"/>
      <c r="BM85" s="327"/>
      <c r="BN85" s="329"/>
      <c r="BO85" s="329"/>
      <c r="BQ85" s="327"/>
      <c r="BR85" s="327"/>
      <c r="BT85" s="327"/>
      <c r="BU85" s="327"/>
      <c r="BW85" s="327"/>
      <c r="BX85" s="327"/>
      <c r="BZ85" s="327"/>
      <c r="CA85" s="327"/>
      <c r="CC85" s="327"/>
      <c r="CD85" s="327"/>
      <c r="CF85" s="327"/>
      <c r="CG85" s="327"/>
      <c r="CI85" s="330"/>
      <c r="CJ85" s="330"/>
      <c r="CL85" s="121"/>
      <c r="CM85" s="331"/>
      <c r="CO85" s="331">
        <f>CO81</f>
        <v>50300</v>
      </c>
      <c r="CP85" s="331">
        <f>CP81</f>
        <v>50300</v>
      </c>
      <c r="CR85" s="331">
        <f>CR81</f>
        <v>0</v>
      </c>
      <c r="CS85" s="331">
        <f>CS81</f>
        <v>50300</v>
      </c>
      <c r="CU85" s="331">
        <f>CU81</f>
        <v>0</v>
      </c>
      <c r="CV85" s="331">
        <f>CV81</f>
        <v>50300</v>
      </c>
      <c r="CX85" s="331">
        <f>CX81</f>
        <v>0</v>
      </c>
      <c r="CY85" s="331">
        <f>CY81</f>
        <v>50300</v>
      </c>
      <c r="DA85" s="331">
        <f>DA81</f>
        <v>50203</v>
      </c>
      <c r="DC85" s="331">
        <f>DC81</f>
        <v>0</v>
      </c>
      <c r="DE85" s="331">
        <f>DE81</f>
        <v>0</v>
      </c>
      <c r="DF85" s="331">
        <f>DF81</f>
        <v>0</v>
      </c>
      <c r="DH85" s="331">
        <f>DH81</f>
        <v>0</v>
      </c>
      <c r="DI85" s="331">
        <f>DI81</f>
        <v>0</v>
      </c>
      <c r="DK85" s="331">
        <f>DK81</f>
        <v>0</v>
      </c>
      <c r="DL85" s="331">
        <f>DL81</f>
        <v>0</v>
      </c>
      <c r="DN85" s="331">
        <f>DN81</f>
        <v>0</v>
      </c>
      <c r="DO85" s="331">
        <f>DO81</f>
        <v>0</v>
      </c>
      <c r="DQ85" s="331">
        <f>DQ81</f>
        <v>0</v>
      </c>
      <c r="DR85" s="331">
        <f>DR81</f>
        <v>0</v>
      </c>
      <c r="DT85" s="331">
        <f>DT81</f>
        <v>0</v>
      </c>
      <c r="DU85" s="331">
        <f>DU81</f>
        <v>0</v>
      </c>
      <c r="DW85" s="331">
        <f>DW81</f>
        <v>0</v>
      </c>
      <c r="DX85" s="331">
        <f>DX81</f>
        <v>0</v>
      </c>
      <c r="DZ85" s="331">
        <f>DZ81</f>
        <v>0</v>
      </c>
      <c r="EA85" s="331">
        <f>EA81</f>
        <v>0</v>
      </c>
      <c r="EC85" s="331">
        <f>EC81</f>
        <v>0</v>
      </c>
      <c r="ED85" s="331">
        <f>ED81</f>
        <v>0</v>
      </c>
      <c r="EF85" s="331">
        <f>EF81</f>
        <v>0</v>
      </c>
      <c r="EG85" s="331">
        <f>EG81</f>
        <v>0</v>
      </c>
      <c r="EI85" s="331">
        <f>EI81</f>
        <v>0</v>
      </c>
      <c r="EK85" s="331">
        <f>EK81</f>
        <v>0</v>
      </c>
      <c r="EM85" s="331">
        <f>EM81</f>
        <v>0</v>
      </c>
      <c r="EN85" s="331">
        <f>EN81</f>
        <v>0</v>
      </c>
      <c r="EP85" s="331">
        <f>EP81</f>
        <v>0</v>
      </c>
      <c r="EQ85" s="331">
        <f>EQ81</f>
        <v>0</v>
      </c>
      <c r="ES85" s="331">
        <f>ES81</f>
        <v>0</v>
      </c>
      <c r="ET85" s="331">
        <f>ET81</f>
        <v>0</v>
      </c>
      <c r="EV85" s="331">
        <f>EV81</f>
        <v>0</v>
      </c>
      <c r="EW85" s="331">
        <f>EW81</f>
        <v>0</v>
      </c>
      <c r="EY85" s="331">
        <f>EY81</f>
        <v>0</v>
      </c>
      <c r="EZ85" s="331">
        <f>EZ81</f>
        <v>0</v>
      </c>
      <c r="FB85" s="331">
        <f>FB81</f>
        <v>0</v>
      </c>
      <c r="FC85" s="331">
        <f>FC81</f>
        <v>0</v>
      </c>
      <c r="FE85" s="331">
        <f>FE81</f>
        <v>0</v>
      </c>
      <c r="FF85" s="331">
        <f>FF81</f>
        <v>0</v>
      </c>
      <c r="FH85" s="331">
        <f>FH81</f>
        <v>0</v>
      </c>
      <c r="FI85" s="331">
        <f>FI81</f>
        <v>0</v>
      </c>
      <c r="FK85" s="331">
        <f>FK81</f>
        <v>0</v>
      </c>
      <c r="FL85" s="331">
        <f>FL81</f>
        <v>0</v>
      </c>
      <c r="FN85" s="331">
        <f>FN81</f>
        <v>0</v>
      </c>
      <c r="FO85" s="331">
        <f>FO81</f>
        <v>0</v>
      </c>
      <c r="FQ85" s="331">
        <v>0</v>
      </c>
      <c r="FR85" s="331">
        <v>0</v>
      </c>
      <c r="FT85" s="331">
        <f>FT81</f>
        <v>0</v>
      </c>
      <c r="FV85" s="331">
        <f>FV81</f>
        <v>0</v>
      </c>
      <c r="FW85" s="235" t="e">
        <f t="shared" si="210"/>
        <v>#DIV/0!</v>
      </c>
      <c r="FY85" s="331">
        <f>FY81</f>
        <v>0</v>
      </c>
      <c r="FZ85" s="331">
        <f>FZ81</f>
        <v>0</v>
      </c>
      <c r="GB85" s="331">
        <f>GB81</f>
        <v>0</v>
      </c>
      <c r="GC85" s="331">
        <f>GC81</f>
        <v>0</v>
      </c>
      <c r="GE85" s="331">
        <f>GE81</f>
        <v>0</v>
      </c>
      <c r="GF85" s="331">
        <f>GF81</f>
        <v>0</v>
      </c>
      <c r="GH85" s="331">
        <f>GH81</f>
        <v>0</v>
      </c>
      <c r="GI85" s="331">
        <f>GI81</f>
        <v>0</v>
      </c>
      <c r="GK85" s="331">
        <f>GK81</f>
        <v>0</v>
      </c>
      <c r="GL85" s="331">
        <f>GL81</f>
        <v>0</v>
      </c>
      <c r="GN85" s="331">
        <f>GN81</f>
        <v>0</v>
      </c>
      <c r="GO85" s="331">
        <f>GO81</f>
        <v>0</v>
      </c>
      <c r="GQ85" s="331">
        <f>GQ81</f>
        <v>0</v>
      </c>
      <c r="GR85" s="331">
        <f>GR81</f>
        <v>0</v>
      </c>
      <c r="GT85" s="331">
        <f>GT81</f>
        <v>0</v>
      </c>
      <c r="GU85" s="331">
        <f>GU81</f>
        <v>0</v>
      </c>
      <c r="GW85" s="331">
        <f>GW81</f>
        <v>0</v>
      </c>
      <c r="GX85" s="331">
        <f>GX81</f>
        <v>0</v>
      </c>
      <c r="GZ85" s="331">
        <f>GZ81</f>
        <v>0</v>
      </c>
      <c r="HA85" s="434">
        <f>HA81</f>
        <v>0</v>
      </c>
      <c r="HC85" s="331">
        <f>HC81</f>
        <v>0</v>
      </c>
      <c r="HE85" s="331">
        <f>HE81</f>
        <v>0</v>
      </c>
      <c r="HF85" s="235" t="e">
        <f>HE85/HC85</f>
        <v>#DIV/0!</v>
      </c>
    </row>
    <row r="86" spans="1:214" ht="15.75" outlineLevel="1" thickTop="1">
      <c r="A86" s="12">
        <v>3314</v>
      </c>
      <c r="B86" s="38" t="s">
        <v>142</v>
      </c>
      <c r="C86" s="37" t="s">
        <v>143</v>
      </c>
      <c r="I86" s="36">
        <v>0</v>
      </c>
      <c r="J86" s="14"/>
      <c r="K86" t="s">
        <v>332</v>
      </c>
      <c r="L86" s="118">
        <f>12*'[3]2020'!$D$27+450</f>
        <v>7999.920000000001</v>
      </c>
      <c r="M86" s="17" t="e">
        <f t="shared" ref="M86:M95" si="211">L86/F86-1</f>
        <v>#DIV/0!</v>
      </c>
      <c r="N86" s="17" t="e">
        <f t="shared" ref="N86:N95" si="212">L86/I86-1</f>
        <v>#DIV/0!</v>
      </c>
      <c r="Q86" s="118">
        <v>8000</v>
      </c>
      <c r="R86" s="15">
        <v>3206</v>
      </c>
      <c r="S86" s="118">
        <v>6700</v>
      </c>
      <c r="T86" s="157">
        <f t="shared" ref="T86:T95" si="213">S86-Q86</f>
        <v>-1300</v>
      </c>
      <c r="U86" s="16">
        <f t="shared" si="205"/>
        <v>-0.16249999999999998</v>
      </c>
      <c r="Y86" s="118">
        <v>6700</v>
      </c>
      <c r="AA86" s="118">
        <v>6000</v>
      </c>
      <c r="AB86" s="185">
        <f>AA86-Y86</f>
        <v>-700</v>
      </c>
      <c r="AC86" s="187">
        <f t="shared" ref="AC86:AC95" si="214">AA86-Y86</f>
        <v>-700</v>
      </c>
      <c r="AD86" s="187"/>
      <c r="AE86" s="118">
        <v>6000</v>
      </c>
      <c r="AF86" s="182"/>
      <c r="AH86" s="15">
        <v>5762</v>
      </c>
      <c r="AI86" s="17">
        <f t="shared" si="206"/>
        <v>0.96033333333333337</v>
      </c>
      <c r="AK86" s="118">
        <v>10300</v>
      </c>
      <c r="AS86" s="15">
        <f t="shared" ref="AS86:AS94" si="215">AR86+AK86</f>
        <v>10300</v>
      </c>
      <c r="AV86" s="15">
        <f t="shared" ref="AV86:AV94" si="216">AS86+AU86</f>
        <v>10300</v>
      </c>
      <c r="AX86" s="15"/>
      <c r="AY86" s="15">
        <f t="shared" ref="AY86:AY94" si="217">AV86+AX86</f>
        <v>10300</v>
      </c>
      <c r="BB86" s="15">
        <f t="shared" ref="BB86:BB94" si="218">AY86+BA86</f>
        <v>10300</v>
      </c>
      <c r="BD86" s="15"/>
      <c r="BE86" s="15">
        <f t="shared" ref="BE86:BE94" si="219">BB86+BD86</f>
        <v>10300</v>
      </c>
      <c r="BG86" s="15"/>
      <c r="BH86" s="15">
        <f t="shared" ref="BH86:BH94" si="220">BE86+BG86</f>
        <v>10300</v>
      </c>
      <c r="BJ86" s="15">
        <v>10224</v>
      </c>
      <c r="BK86" s="235">
        <f t="shared" ref="BK86:BK94" si="221">BJ86/BH86</f>
        <v>0.99262135922330097</v>
      </c>
      <c r="BM86" s="15">
        <v>11300</v>
      </c>
      <c r="BN86" s="235">
        <f t="shared" ref="BN86:BN94" si="222">BM86/BJ86</f>
        <v>1.1052425665101722</v>
      </c>
      <c r="BO86" s="235">
        <f t="shared" ref="BO86:BO94" si="223">BM86/BH86</f>
        <v>1.0970873786407767</v>
      </c>
      <c r="BQ86" s="15"/>
      <c r="BR86" s="15">
        <f t="shared" ref="BR86:BR94" si="224">BM86+BQ86</f>
        <v>11300</v>
      </c>
      <c r="BT86" s="15"/>
      <c r="BU86" s="15">
        <f t="shared" ref="BU86:BU94" si="225">BR86+BT86</f>
        <v>11300</v>
      </c>
      <c r="BW86" s="15"/>
      <c r="BX86" s="15">
        <f t="shared" ref="BX86:BX94" si="226">BU86+BW86</f>
        <v>11300</v>
      </c>
      <c r="BZ86" s="15"/>
      <c r="CA86" s="15">
        <f t="shared" ref="CA86:CA94" si="227">BX86+BZ86</f>
        <v>11300</v>
      </c>
      <c r="CC86" s="15"/>
      <c r="CD86" s="15">
        <f t="shared" ref="CD86:CD94" si="228">CA86+CC86</f>
        <v>11300</v>
      </c>
      <c r="CF86" s="15"/>
      <c r="CG86" s="15">
        <f t="shared" ref="CG86:CG94" si="229">CD86+CF86</f>
        <v>11300</v>
      </c>
      <c r="CI86" s="15"/>
      <c r="CJ86" s="15">
        <f t="shared" ref="CJ86:CJ94" si="230">CG86+CI86</f>
        <v>11300</v>
      </c>
      <c r="CM86" s="15">
        <f t="shared" ref="CM86:CM94" si="231">CJ86+CL86</f>
        <v>11300</v>
      </c>
      <c r="CP86" s="15">
        <f t="shared" ref="CP86:CP94" si="232">CM86+CO86</f>
        <v>11300</v>
      </c>
      <c r="CS86" s="15">
        <f t="shared" ref="CS86:CS94" si="233">CP86+CR86</f>
        <v>11300</v>
      </c>
      <c r="CV86" s="15">
        <f t="shared" ref="CV86:CV94" si="234">CS86+CU86</f>
        <v>11300</v>
      </c>
      <c r="CY86" s="15">
        <f t="shared" ref="CY86:CY94" si="235">CV86+CX86</f>
        <v>11300</v>
      </c>
      <c r="DA86" s="15">
        <v>11192</v>
      </c>
      <c r="DC86" s="15">
        <v>11300</v>
      </c>
      <c r="DE86" s="15"/>
      <c r="DF86" s="15">
        <f t="shared" ref="DF86:DF94" si="236">DC86+DE86</f>
        <v>11300</v>
      </c>
      <c r="DH86" s="15"/>
      <c r="DI86" s="15">
        <f t="shared" ref="DI86:DI94" si="237">DF86+DH86</f>
        <v>11300</v>
      </c>
      <c r="DK86" s="15"/>
      <c r="DL86" s="15">
        <f t="shared" ref="DL86:DL94" si="238">DI86+DK86</f>
        <v>11300</v>
      </c>
      <c r="DN86" s="15"/>
      <c r="DO86" s="15">
        <f t="shared" ref="DO86:DO94" si="239">DL86+DN86</f>
        <v>11300</v>
      </c>
      <c r="DQ86" s="15"/>
      <c r="DR86" s="15">
        <f t="shared" ref="DR86:DR94" si="240">DO86+DQ86</f>
        <v>11300</v>
      </c>
      <c r="DT86" s="15"/>
      <c r="DU86" s="15">
        <f t="shared" ref="DU86:DU94" si="241">DR86+DT86</f>
        <v>11300</v>
      </c>
      <c r="DW86" s="15"/>
      <c r="DX86" s="15">
        <f t="shared" ref="DX86:DX94" si="242">DU86+DW86</f>
        <v>11300</v>
      </c>
      <c r="DZ86" s="15"/>
      <c r="EA86" s="15">
        <f t="shared" ref="EA86:EA94" si="243">DX86+DZ86</f>
        <v>11300</v>
      </c>
      <c r="EC86" s="227">
        <v>1900</v>
      </c>
      <c r="ED86" s="15">
        <f t="shared" ref="ED86:ED94" si="244">EA86+EC86</f>
        <v>13200</v>
      </c>
      <c r="EF86" s="15"/>
      <c r="EG86" s="15">
        <f t="shared" ref="EG86:EG94" si="245">ED86+EF86</f>
        <v>13200</v>
      </c>
      <c r="EI86" s="15">
        <v>13160</v>
      </c>
      <c r="EK86" s="15">
        <f>12200+2540</f>
        <v>14740</v>
      </c>
      <c r="EM86" s="15"/>
      <c r="EN86" s="15">
        <f t="shared" ref="EN86:EN94" si="246">EK86+EM86</f>
        <v>14740</v>
      </c>
      <c r="EP86" s="15"/>
      <c r="EQ86" s="15">
        <f t="shared" ref="EQ86:EQ94" si="247">EN86+EP86</f>
        <v>14740</v>
      </c>
      <c r="ES86" s="15"/>
      <c r="ET86" s="15">
        <f t="shared" ref="ET86:ET94" si="248">EQ86+ES86</f>
        <v>14740</v>
      </c>
      <c r="EW86" s="15">
        <f t="shared" ref="EW86:EW94" si="249">ET86+EV86</f>
        <v>14740</v>
      </c>
      <c r="EZ86" s="15">
        <f t="shared" ref="EZ86:EZ94" si="250">EW86+EY86</f>
        <v>14740</v>
      </c>
      <c r="FC86" s="15">
        <f t="shared" ref="FC86:FC94" si="251">EZ86+FB86</f>
        <v>14740</v>
      </c>
      <c r="FF86" s="15">
        <f t="shared" ref="FF86:FF94" si="252">FC86+FE86</f>
        <v>14740</v>
      </c>
      <c r="FI86" s="15">
        <f t="shared" ref="FI86:FI94" si="253">FF86+FH86</f>
        <v>14740</v>
      </c>
      <c r="FK86" s="227">
        <v>-3000</v>
      </c>
      <c r="FL86" s="15">
        <f t="shared" ref="FL86:FL94" si="254">FI86+FK86</f>
        <v>11740</v>
      </c>
      <c r="FO86" s="15">
        <f t="shared" ref="FO86:FO94" si="255">FL86+FN86</f>
        <v>11740</v>
      </c>
      <c r="FQ86" s="227">
        <v>-640</v>
      </c>
      <c r="FR86" s="15">
        <v>11100</v>
      </c>
      <c r="FT86" s="15">
        <v>11090</v>
      </c>
      <c r="FV86" s="15">
        <f>12*1400+3500</f>
        <v>20300</v>
      </c>
      <c r="FW86" s="235">
        <f t="shared" ref="FW86:FW87" si="256">FV86/FT86</f>
        <v>1.830477908025248</v>
      </c>
      <c r="FZ86" s="15">
        <f t="shared" ref="FZ86:FZ94" si="257">FV86+FY86</f>
        <v>20300</v>
      </c>
      <c r="GB86" s="15"/>
      <c r="GC86" s="15">
        <f t="shared" ref="GC86:GC94" si="258">FZ86+GB86</f>
        <v>20300</v>
      </c>
      <c r="GE86" s="15"/>
      <c r="GF86" s="15">
        <f t="shared" ref="GF86:GF94" si="259">GC86+GE86</f>
        <v>20300</v>
      </c>
      <c r="GH86" s="15"/>
      <c r="GI86" s="15">
        <f t="shared" ref="GI86:GI94" si="260">GF86+GH86</f>
        <v>20300</v>
      </c>
      <c r="GK86" s="15"/>
      <c r="GL86" s="15">
        <f t="shared" ref="GL86:GL94" si="261">GI86+GK86</f>
        <v>20300</v>
      </c>
      <c r="GN86" s="15"/>
      <c r="GO86" s="15">
        <f t="shared" ref="GO86:GO94" si="262">GL86+GN86</f>
        <v>20300</v>
      </c>
      <c r="GQ86" s="15"/>
      <c r="GR86" s="15">
        <f t="shared" ref="GR86:GR94" si="263">GO86+GQ86</f>
        <v>20300</v>
      </c>
      <c r="GT86" s="15"/>
      <c r="GU86" s="15">
        <f t="shared" ref="GU86:GU94" si="264">GR86+GT86</f>
        <v>20300</v>
      </c>
      <c r="GW86" s="15"/>
      <c r="GX86" s="15">
        <f t="shared" ref="GX86:GX94" si="265">GU86+GW86</f>
        <v>20300</v>
      </c>
      <c r="GZ86" s="15"/>
      <c r="HA86" s="189">
        <f t="shared" ref="HA86:HA94" si="266">GX86+GZ86</f>
        <v>20300</v>
      </c>
      <c r="HC86" s="189">
        <v>17365</v>
      </c>
      <c r="HE86" s="15">
        <v>21900</v>
      </c>
      <c r="HF86" s="235">
        <f>HE86/HC86</f>
        <v>1.2611575007198388</v>
      </c>
    </row>
    <row r="87" spans="1:214" outlineLevel="1">
      <c r="A87" s="12">
        <v>3314</v>
      </c>
      <c r="B87" s="38" t="s">
        <v>144</v>
      </c>
      <c r="C87" s="37" t="s">
        <v>145</v>
      </c>
      <c r="I87" s="36"/>
      <c r="J87" s="14"/>
      <c r="L87" s="118">
        <v>4000</v>
      </c>
      <c r="M87" s="17" t="e">
        <f t="shared" si="211"/>
        <v>#DIV/0!</v>
      </c>
      <c r="N87" s="17" t="e">
        <f t="shared" si="212"/>
        <v>#DIV/0!</v>
      </c>
      <c r="Q87" s="118">
        <v>4000</v>
      </c>
      <c r="R87" s="15">
        <v>0</v>
      </c>
      <c r="S87" s="118">
        <v>3000</v>
      </c>
      <c r="T87" s="157">
        <f t="shared" si="213"/>
        <v>-1000</v>
      </c>
      <c r="U87" s="16">
        <f t="shared" si="205"/>
        <v>-0.25</v>
      </c>
      <c r="Y87" s="118">
        <v>3000</v>
      </c>
      <c r="AA87" s="118">
        <v>3000</v>
      </c>
      <c r="AB87" s="185">
        <f t="shared" ref="AB87:AB95" si="267">AA87-Y87</f>
        <v>0</v>
      </c>
      <c r="AC87" s="187">
        <f t="shared" si="214"/>
        <v>0</v>
      </c>
      <c r="AD87" s="187"/>
      <c r="AE87" s="118">
        <v>3000</v>
      </c>
      <c r="AF87" s="182"/>
      <c r="AH87" s="15">
        <v>0</v>
      </c>
      <c r="AI87" s="17">
        <f t="shared" si="206"/>
        <v>0</v>
      </c>
      <c r="AK87" s="118">
        <v>3000</v>
      </c>
      <c r="AS87" s="15">
        <f t="shared" si="215"/>
        <v>3000</v>
      </c>
      <c r="AV87" s="15">
        <f t="shared" si="216"/>
        <v>3000</v>
      </c>
      <c r="AX87" s="15"/>
      <c r="AY87" s="15">
        <f t="shared" si="217"/>
        <v>3000</v>
      </c>
      <c r="BB87" s="15">
        <f t="shared" si="218"/>
        <v>3000</v>
      </c>
      <c r="BD87" s="15"/>
      <c r="BE87" s="15">
        <f t="shared" si="219"/>
        <v>3000</v>
      </c>
      <c r="BG87" s="15"/>
      <c r="BH87" s="15">
        <f t="shared" si="220"/>
        <v>3000</v>
      </c>
      <c r="BJ87" s="15">
        <v>2871.75</v>
      </c>
      <c r="BK87" s="235">
        <f t="shared" si="221"/>
        <v>0.95725000000000005</v>
      </c>
      <c r="BM87" s="15">
        <v>4000</v>
      </c>
      <c r="BN87" s="235">
        <f t="shared" si="222"/>
        <v>1.3928789065900584</v>
      </c>
      <c r="BO87" s="235">
        <f t="shared" si="223"/>
        <v>1.3333333333333333</v>
      </c>
      <c r="BQ87" s="15"/>
      <c r="BR87" s="15">
        <f t="shared" si="224"/>
        <v>4000</v>
      </c>
      <c r="BT87" s="15"/>
      <c r="BU87" s="15">
        <f t="shared" si="225"/>
        <v>4000</v>
      </c>
      <c r="BW87" s="15"/>
      <c r="BX87" s="15">
        <f t="shared" si="226"/>
        <v>4000</v>
      </c>
      <c r="BZ87" s="15"/>
      <c r="CA87" s="15">
        <f t="shared" si="227"/>
        <v>4000</v>
      </c>
      <c r="CC87" s="15"/>
      <c r="CD87" s="15">
        <f t="shared" si="228"/>
        <v>4000</v>
      </c>
      <c r="CF87" s="15"/>
      <c r="CG87" s="15">
        <f t="shared" si="229"/>
        <v>4000</v>
      </c>
      <c r="CI87" s="15"/>
      <c r="CJ87" s="15">
        <f t="shared" si="230"/>
        <v>4000</v>
      </c>
      <c r="CM87" s="15">
        <f t="shared" si="231"/>
        <v>4000</v>
      </c>
      <c r="CP87" s="15">
        <f t="shared" si="232"/>
        <v>4000</v>
      </c>
      <c r="CS87" s="15">
        <f t="shared" si="233"/>
        <v>4000</v>
      </c>
      <c r="CV87" s="15">
        <f t="shared" si="234"/>
        <v>4000</v>
      </c>
      <c r="CY87" s="15">
        <f t="shared" si="235"/>
        <v>4000</v>
      </c>
      <c r="DA87" s="15">
        <v>3951.5</v>
      </c>
      <c r="DC87" s="15">
        <v>4000</v>
      </c>
      <c r="DE87" s="15"/>
      <c r="DF87" s="15">
        <f t="shared" si="236"/>
        <v>4000</v>
      </c>
      <c r="DH87" s="15"/>
      <c r="DI87" s="15">
        <f t="shared" si="237"/>
        <v>4000</v>
      </c>
      <c r="DK87" s="15"/>
      <c r="DL87" s="15">
        <f t="shared" si="238"/>
        <v>4000</v>
      </c>
      <c r="DN87" s="15"/>
      <c r="DO87" s="15">
        <f t="shared" si="239"/>
        <v>4000</v>
      </c>
      <c r="DQ87" s="15"/>
      <c r="DR87" s="15">
        <f t="shared" si="240"/>
        <v>4000</v>
      </c>
      <c r="DT87" s="15"/>
      <c r="DU87" s="15">
        <f t="shared" si="241"/>
        <v>4000</v>
      </c>
      <c r="DW87" s="15"/>
      <c r="DX87" s="15">
        <f t="shared" si="242"/>
        <v>4000</v>
      </c>
      <c r="DZ87" s="15"/>
      <c r="EA87" s="15">
        <f t="shared" si="243"/>
        <v>4000</v>
      </c>
      <c r="EC87" s="15"/>
      <c r="ED87" s="15">
        <f t="shared" si="244"/>
        <v>4000</v>
      </c>
      <c r="EF87" s="227">
        <v>500</v>
      </c>
      <c r="EG87" s="15">
        <f t="shared" si="245"/>
        <v>4500</v>
      </c>
      <c r="EI87" s="15">
        <v>4104.8</v>
      </c>
      <c r="EK87" s="15">
        <v>5000</v>
      </c>
      <c r="EM87" s="15"/>
      <c r="EN87" s="15">
        <f t="shared" si="246"/>
        <v>5000</v>
      </c>
      <c r="EP87" s="15"/>
      <c r="EQ87" s="15">
        <f t="shared" si="247"/>
        <v>5000</v>
      </c>
      <c r="ES87" s="15"/>
      <c r="ET87" s="15">
        <f t="shared" si="248"/>
        <v>5000</v>
      </c>
      <c r="EW87" s="15">
        <f t="shared" si="249"/>
        <v>5000</v>
      </c>
      <c r="EZ87" s="15">
        <f t="shared" si="250"/>
        <v>5000</v>
      </c>
      <c r="FC87" s="15">
        <f t="shared" si="251"/>
        <v>5000</v>
      </c>
      <c r="FF87" s="15">
        <f t="shared" si="252"/>
        <v>5000</v>
      </c>
      <c r="FI87" s="15">
        <f t="shared" si="253"/>
        <v>5000</v>
      </c>
      <c r="FL87" s="15">
        <f t="shared" si="254"/>
        <v>5000</v>
      </c>
      <c r="FO87" s="15">
        <f t="shared" si="255"/>
        <v>5000</v>
      </c>
      <c r="FQ87" s="227">
        <v>80</v>
      </c>
      <c r="FR87" s="15">
        <v>5080</v>
      </c>
      <c r="FT87" s="15">
        <v>5070.75</v>
      </c>
      <c r="FV87" s="15">
        <v>5000</v>
      </c>
      <c r="FW87" s="235">
        <f t="shared" si="256"/>
        <v>0.98604742888132924</v>
      </c>
      <c r="FZ87" s="15">
        <f t="shared" si="257"/>
        <v>5000</v>
      </c>
      <c r="GB87" s="15"/>
      <c r="GC87" s="15">
        <f t="shared" si="258"/>
        <v>5000</v>
      </c>
      <c r="GE87" s="15"/>
      <c r="GF87" s="15">
        <f t="shared" si="259"/>
        <v>5000</v>
      </c>
      <c r="GH87" s="15"/>
      <c r="GI87" s="15">
        <f t="shared" si="260"/>
        <v>5000</v>
      </c>
      <c r="GK87" s="15"/>
      <c r="GL87" s="15">
        <f t="shared" si="261"/>
        <v>5000</v>
      </c>
      <c r="GN87" s="15"/>
      <c r="GO87" s="15">
        <f t="shared" si="262"/>
        <v>5000</v>
      </c>
      <c r="GQ87" s="15"/>
      <c r="GR87" s="15">
        <f t="shared" si="263"/>
        <v>5000</v>
      </c>
      <c r="GT87" s="15"/>
      <c r="GU87" s="15">
        <f t="shared" si="264"/>
        <v>5000</v>
      </c>
      <c r="GW87" s="15"/>
      <c r="GX87" s="15">
        <f t="shared" si="265"/>
        <v>5000</v>
      </c>
      <c r="GZ87" s="15"/>
      <c r="HA87" s="189">
        <f t="shared" si="266"/>
        <v>5000</v>
      </c>
      <c r="HC87" s="189">
        <v>3931.3</v>
      </c>
      <c r="HE87" s="15">
        <v>4000</v>
      </c>
      <c r="HF87" s="235">
        <f>HE87/HC87</f>
        <v>1.0174751354513774</v>
      </c>
    </row>
    <row r="88" spans="1:214" outlineLevel="1">
      <c r="A88" s="12">
        <v>3314</v>
      </c>
      <c r="B88" s="1" t="s">
        <v>146</v>
      </c>
      <c r="C88" s="4" t="s">
        <v>147</v>
      </c>
      <c r="I88" s="36"/>
      <c r="J88" s="14"/>
      <c r="L88" s="118">
        <v>1000</v>
      </c>
      <c r="M88" s="17" t="e">
        <f t="shared" si="211"/>
        <v>#DIV/0!</v>
      </c>
      <c r="N88" s="17" t="e">
        <f t="shared" si="212"/>
        <v>#DIV/0!</v>
      </c>
      <c r="Q88" s="118">
        <v>1000</v>
      </c>
      <c r="R88" s="15">
        <v>757</v>
      </c>
      <c r="S88" s="118">
        <v>1500</v>
      </c>
      <c r="T88" s="157">
        <f t="shared" si="213"/>
        <v>500</v>
      </c>
      <c r="U88" s="16">
        <f t="shared" si="205"/>
        <v>0.5</v>
      </c>
      <c r="Y88" s="118">
        <v>1500</v>
      </c>
      <c r="AA88" s="118">
        <v>800</v>
      </c>
      <c r="AB88" s="185">
        <f t="shared" si="267"/>
        <v>-700</v>
      </c>
      <c r="AC88" s="187">
        <f t="shared" si="214"/>
        <v>-700</v>
      </c>
      <c r="AD88" s="187"/>
      <c r="AE88" s="118">
        <v>800</v>
      </c>
      <c r="AF88" s="182"/>
      <c r="AH88" s="15">
        <v>757</v>
      </c>
      <c r="AI88" s="17">
        <f t="shared" si="206"/>
        <v>0.94625000000000004</v>
      </c>
      <c r="AK88" s="118">
        <v>1000</v>
      </c>
      <c r="AS88" s="15">
        <f t="shared" si="215"/>
        <v>1000</v>
      </c>
      <c r="AV88" s="15">
        <f t="shared" si="216"/>
        <v>1000</v>
      </c>
      <c r="AX88" s="15"/>
      <c r="AY88" s="15">
        <f t="shared" si="217"/>
        <v>1000</v>
      </c>
      <c r="BB88" s="15">
        <f t="shared" si="218"/>
        <v>1000</v>
      </c>
      <c r="BD88" s="15"/>
      <c r="BE88" s="15">
        <f t="shared" si="219"/>
        <v>1000</v>
      </c>
      <c r="BG88" s="15">
        <v>-1000</v>
      </c>
      <c r="BH88" s="15">
        <f t="shared" si="220"/>
        <v>0</v>
      </c>
      <c r="BJ88" s="15">
        <v>0</v>
      </c>
      <c r="BK88" s="235" t="e">
        <f t="shared" si="221"/>
        <v>#DIV/0!</v>
      </c>
      <c r="BM88" s="15">
        <v>0</v>
      </c>
      <c r="BN88" s="235" t="e">
        <f t="shared" si="222"/>
        <v>#DIV/0!</v>
      </c>
      <c r="BO88" s="235" t="e">
        <f t="shared" si="223"/>
        <v>#DIV/0!</v>
      </c>
      <c r="BQ88" s="15"/>
      <c r="BR88" s="15">
        <f t="shared" si="224"/>
        <v>0</v>
      </c>
      <c r="BT88" s="15"/>
      <c r="BU88" s="15">
        <f t="shared" si="225"/>
        <v>0</v>
      </c>
      <c r="BW88" s="15"/>
      <c r="BX88" s="15">
        <f t="shared" si="226"/>
        <v>0</v>
      </c>
      <c r="BZ88" s="15"/>
      <c r="CA88" s="15">
        <f t="shared" si="227"/>
        <v>0</v>
      </c>
      <c r="CC88" s="15"/>
      <c r="CD88" s="15">
        <f t="shared" si="228"/>
        <v>0</v>
      </c>
      <c r="CF88" s="15"/>
      <c r="CG88" s="15">
        <f t="shared" si="229"/>
        <v>0</v>
      </c>
      <c r="CI88" s="15"/>
      <c r="CJ88" s="15">
        <f t="shared" si="230"/>
        <v>0</v>
      </c>
      <c r="CM88" s="15">
        <f t="shared" si="231"/>
        <v>0</v>
      </c>
      <c r="CP88" s="15">
        <f t="shared" si="232"/>
        <v>0</v>
      </c>
      <c r="CS88" s="15">
        <f t="shared" si="233"/>
        <v>0</v>
      </c>
      <c r="CV88" s="15">
        <f t="shared" si="234"/>
        <v>0</v>
      </c>
      <c r="CY88" s="15">
        <f t="shared" si="235"/>
        <v>0</v>
      </c>
      <c r="DA88" s="15">
        <v>0</v>
      </c>
      <c r="DE88" s="15"/>
      <c r="DF88" s="15">
        <f t="shared" si="236"/>
        <v>0</v>
      </c>
      <c r="DH88" s="15"/>
      <c r="DI88" s="15">
        <f t="shared" si="237"/>
        <v>0</v>
      </c>
      <c r="DK88" s="15"/>
      <c r="DL88" s="15">
        <f t="shared" si="238"/>
        <v>0</v>
      </c>
      <c r="DN88" s="15"/>
      <c r="DO88" s="15">
        <f t="shared" si="239"/>
        <v>0</v>
      </c>
      <c r="DQ88" s="15"/>
      <c r="DR88" s="15">
        <f t="shared" si="240"/>
        <v>0</v>
      </c>
      <c r="DT88" s="227">
        <v>700</v>
      </c>
      <c r="DU88" s="15">
        <f t="shared" si="241"/>
        <v>700</v>
      </c>
      <c r="DW88" s="15"/>
      <c r="DX88" s="15">
        <f t="shared" si="242"/>
        <v>700</v>
      </c>
      <c r="DZ88" s="15"/>
      <c r="EA88" s="15">
        <f t="shared" si="243"/>
        <v>700</v>
      </c>
      <c r="EC88" s="15"/>
      <c r="ED88" s="15">
        <f t="shared" si="244"/>
        <v>700</v>
      </c>
      <c r="EF88" s="15"/>
      <c r="EG88" s="15">
        <f t="shared" si="245"/>
        <v>700</v>
      </c>
      <c r="EI88" s="15">
        <v>635</v>
      </c>
      <c r="EK88" s="15">
        <v>0</v>
      </c>
      <c r="EM88" s="15"/>
      <c r="EN88" s="15">
        <f t="shared" si="246"/>
        <v>0</v>
      </c>
      <c r="EP88" s="15"/>
      <c r="EQ88" s="15">
        <f t="shared" si="247"/>
        <v>0</v>
      </c>
      <c r="ES88" s="15"/>
      <c r="ET88" s="15">
        <f t="shared" si="248"/>
        <v>0</v>
      </c>
      <c r="EW88" s="15">
        <f t="shared" si="249"/>
        <v>0</v>
      </c>
      <c r="EZ88" s="15">
        <f t="shared" si="250"/>
        <v>0</v>
      </c>
      <c r="FC88" s="15">
        <f t="shared" si="251"/>
        <v>0</v>
      </c>
      <c r="FF88" s="15">
        <f t="shared" si="252"/>
        <v>0</v>
      </c>
      <c r="FI88" s="15">
        <f t="shared" si="253"/>
        <v>0</v>
      </c>
      <c r="FL88" s="15">
        <f t="shared" si="254"/>
        <v>0</v>
      </c>
      <c r="FO88" s="15">
        <f t="shared" si="255"/>
        <v>0</v>
      </c>
      <c r="FR88" s="15">
        <v>0</v>
      </c>
      <c r="FZ88" s="15">
        <f t="shared" si="257"/>
        <v>0</v>
      </c>
      <c r="GB88" s="15"/>
      <c r="GC88" s="15">
        <f t="shared" si="258"/>
        <v>0</v>
      </c>
      <c r="GE88" s="15"/>
      <c r="GF88" s="15">
        <f t="shared" si="259"/>
        <v>0</v>
      </c>
      <c r="GH88" s="15"/>
      <c r="GI88" s="15">
        <f t="shared" si="260"/>
        <v>0</v>
      </c>
      <c r="GK88" s="15"/>
      <c r="GL88" s="15">
        <f t="shared" si="261"/>
        <v>0</v>
      </c>
      <c r="GN88" s="15"/>
      <c r="GO88" s="15">
        <f t="shared" si="262"/>
        <v>0</v>
      </c>
      <c r="GQ88" s="15"/>
      <c r="GR88" s="15">
        <f t="shared" si="263"/>
        <v>0</v>
      </c>
      <c r="GT88" s="15"/>
      <c r="GU88" s="15">
        <f t="shared" si="264"/>
        <v>0</v>
      </c>
      <c r="GW88" s="15"/>
      <c r="GX88" s="15">
        <f t="shared" si="265"/>
        <v>0</v>
      </c>
      <c r="GZ88" s="15"/>
      <c r="HA88" s="189">
        <f t="shared" si="266"/>
        <v>0</v>
      </c>
      <c r="HE88" s="15">
        <v>0</v>
      </c>
    </row>
    <row r="89" spans="1:214" outlineLevel="1">
      <c r="A89" s="12">
        <v>3314</v>
      </c>
      <c r="B89" s="38" t="s">
        <v>157</v>
      </c>
      <c r="C89" s="37" t="s">
        <v>158</v>
      </c>
      <c r="I89" s="36"/>
      <c r="J89" s="14"/>
      <c r="K89" t="s">
        <v>332</v>
      </c>
      <c r="L89" s="118">
        <v>1000</v>
      </c>
      <c r="M89" s="17" t="e">
        <f t="shared" si="211"/>
        <v>#DIV/0!</v>
      </c>
      <c r="N89" s="17" t="e">
        <f t="shared" si="212"/>
        <v>#DIV/0!</v>
      </c>
      <c r="Q89" s="118">
        <v>1000</v>
      </c>
      <c r="R89" s="15">
        <v>60</v>
      </c>
      <c r="S89" s="118">
        <v>450</v>
      </c>
      <c r="T89" s="157">
        <f t="shared" si="213"/>
        <v>-550</v>
      </c>
      <c r="U89" s="16">
        <f t="shared" si="205"/>
        <v>-0.55000000000000004</v>
      </c>
      <c r="Y89" s="118">
        <v>450</v>
      </c>
      <c r="AA89" s="118">
        <v>400</v>
      </c>
      <c r="AB89" s="185">
        <f t="shared" si="267"/>
        <v>-50</v>
      </c>
      <c r="AC89" s="187">
        <f t="shared" si="214"/>
        <v>-50</v>
      </c>
      <c r="AD89" s="187"/>
      <c r="AE89" s="118">
        <v>400</v>
      </c>
      <c r="AF89" s="182"/>
      <c r="AH89" s="15">
        <v>243.6</v>
      </c>
      <c r="AI89" s="17">
        <f t="shared" si="206"/>
        <v>0.60899999999999999</v>
      </c>
      <c r="AK89" s="118">
        <v>400</v>
      </c>
      <c r="AS89" s="15">
        <f t="shared" si="215"/>
        <v>400</v>
      </c>
      <c r="AV89" s="15">
        <f t="shared" si="216"/>
        <v>400</v>
      </c>
      <c r="AX89" s="15"/>
      <c r="AY89" s="15">
        <f t="shared" si="217"/>
        <v>400</v>
      </c>
      <c r="BB89" s="15">
        <f t="shared" si="218"/>
        <v>400</v>
      </c>
      <c r="BD89" s="15"/>
      <c r="BE89" s="15">
        <f t="shared" si="219"/>
        <v>400</v>
      </c>
      <c r="BG89" s="15"/>
      <c r="BH89" s="15">
        <f t="shared" si="220"/>
        <v>400</v>
      </c>
      <c r="BJ89" s="15">
        <v>384</v>
      </c>
      <c r="BK89" s="235">
        <f t="shared" si="221"/>
        <v>0.96</v>
      </c>
      <c r="BM89" s="15">
        <f>2*85+230</f>
        <v>400</v>
      </c>
      <c r="BN89" s="235">
        <f t="shared" si="222"/>
        <v>1.0416666666666667</v>
      </c>
      <c r="BO89" s="235">
        <f t="shared" si="223"/>
        <v>1</v>
      </c>
      <c r="BQ89" s="15"/>
      <c r="BR89" s="15">
        <f t="shared" si="224"/>
        <v>400</v>
      </c>
      <c r="BT89" s="15"/>
      <c r="BU89" s="15">
        <f t="shared" si="225"/>
        <v>400</v>
      </c>
      <c r="BW89" s="15"/>
      <c r="BX89" s="15">
        <f t="shared" si="226"/>
        <v>400</v>
      </c>
      <c r="BZ89" s="15"/>
      <c r="CA89" s="15">
        <f t="shared" si="227"/>
        <v>400</v>
      </c>
      <c r="CC89" s="15"/>
      <c r="CD89" s="15">
        <f t="shared" si="228"/>
        <v>400</v>
      </c>
      <c r="CF89" s="15"/>
      <c r="CG89" s="15">
        <f t="shared" si="229"/>
        <v>400</v>
      </c>
      <c r="CI89" s="15"/>
      <c r="CJ89" s="15">
        <f t="shared" si="230"/>
        <v>400</v>
      </c>
      <c r="CM89" s="15">
        <f t="shared" si="231"/>
        <v>400</v>
      </c>
      <c r="CP89" s="15">
        <f t="shared" si="232"/>
        <v>400</v>
      </c>
      <c r="CS89" s="15">
        <f t="shared" si="233"/>
        <v>400</v>
      </c>
      <c r="CV89" s="15">
        <f t="shared" si="234"/>
        <v>400</v>
      </c>
      <c r="CY89" s="15">
        <f t="shared" si="235"/>
        <v>400</v>
      </c>
      <c r="DA89" s="15">
        <v>133</v>
      </c>
      <c r="DC89" s="15">
        <v>300</v>
      </c>
      <c r="DE89" s="227">
        <v>100</v>
      </c>
      <c r="DF89" s="15">
        <f t="shared" si="236"/>
        <v>400</v>
      </c>
      <c r="DH89" s="15"/>
      <c r="DI89" s="15">
        <f t="shared" si="237"/>
        <v>400</v>
      </c>
      <c r="DK89" s="15"/>
      <c r="DL89" s="15">
        <f t="shared" si="238"/>
        <v>400</v>
      </c>
      <c r="DN89" s="15"/>
      <c r="DO89" s="15">
        <f t="shared" si="239"/>
        <v>400</v>
      </c>
      <c r="DQ89" s="15"/>
      <c r="DR89" s="15">
        <f t="shared" si="240"/>
        <v>400</v>
      </c>
      <c r="DT89" s="227">
        <v>100</v>
      </c>
      <c r="DU89" s="15">
        <f t="shared" si="241"/>
        <v>500</v>
      </c>
      <c r="DW89" s="15"/>
      <c r="DX89" s="15">
        <f t="shared" si="242"/>
        <v>500</v>
      </c>
      <c r="DZ89" s="15"/>
      <c r="EA89" s="15">
        <f t="shared" si="243"/>
        <v>500</v>
      </c>
      <c r="EC89" s="227">
        <v>-150</v>
      </c>
      <c r="ED89" s="15">
        <f t="shared" si="244"/>
        <v>350</v>
      </c>
      <c r="EF89" s="15"/>
      <c r="EG89" s="15">
        <f t="shared" si="245"/>
        <v>350</v>
      </c>
      <c r="EI89" s="15">
        <v>343.52</v>
      </c>
      <c r="EK89" s="15">
        <v>400</v>
      </c>
      <c r="EM89" s="15"/>
      <c r="EN89" s="15">
        <f t="shared" si="246"/>
        <v>400</v>
      </c>
      <c r="EP89" s="15"/>
      <c r="EQ89" s="15">
        <f t="shared" si="247"/>
        <v>400</v>
      </c>
      <c r="ES89" s="15"/>
      <c r="ET89" s="15">
        <f t="shared" si="248"/>
        <v>400</v>
      </c>
      <c r="EW89" s="15">
        <f t="shared" si="249"/>
        <v>400</v>
      </c>
      <c r="EZ89" s="15">
        <f t="shared" si="250"/>
        <v>400</v>
      </c>
      <c r="FC89" s="15">
        <f t="shared" si="251"/>
        <v>400</v>
      </c>
      <c r="FF89" s="15">
        <f t="shared" si="252"/>
        <v>400</v>
      </c>
      <c r="FI89" s="15">
        <f t="shared" si="253"/>
        <v>400</v>
      </c>
      <c r="FL89" s="15">
        <f t="shared" si="254"/>
        <v>400</v>
      </c>
      <c r="FN89" s="227">
        <v>100</v>
      </c>
      <c r="FO89" s="15">
        <f t="shared" si="255"/>
        <v>500</v>
      </c>
      <c r="FQ89" s="227">
        <v>130</v>
      </c>
      <c r="FR89" s="15">
        <v>630</v>
      </c>
      <c r="FT89" s="15">
        <v>622.4</v>
      </c>
      <c r="FV89" s="15">
        <v>1000</v>
      </c>
      <c r="FZ89" s="15">
        <f t="shared" si="257"/>
        <v>1000</v>
      </c>
      <c r="GB89" s="15"/>
      <c r="GC89" s="15">
        <f t="shared" si="258"/>
        <v>1000</v>
      </c>
      <c r="GE89" s="15"/>
      <c r="GF89" s="15">
        <f t="shared" si="259"/>
        <v>1000</v>
      </c>
      <c r="GH89" s="15"/>
      <c r="GI89" s="15">
        <f t="shared" si="260"/>
        <v>1000</v>
      </c>
      <c r="GK89" s="15"/>
      <c r="GL89" s="15">
        <f t="shared" si="261"/>
        <v>1000</v>
      </c>
      <c r="GN89" s="15"/>
      <c r="GO89" s="15">
        <f t="shared" si="262"/>
        <v>1000</v>
      </c>
      <c r="GQ89" s="15"/>
      <c r="GR89" s="15">
        <f t="shared" si="263"/>
        <v>1000</v>
      </c>
      <c r="GT89" s="15"/>
      <c r="GU89" s="15">
        <f t="shared" si="264"/>
        <v>1000</v>
      </c>
      <c r="GW89" s="15"/>
      <c r="GX89" s="15">
        <f t="shared" si="265"/>
        <v>1000</v>
      </c>
      <c r="GZ89" s="227">
        <v>200</v>
      </c>
      <c r="HA89" s="189">
        <f t="shared" si="266"/>
        <v>1200</v>
      </c>
      <c r="HC89" s="189">
        <v>1158.5999999999999</v>
      </c>
      <c r="HE89" s="15">
        <v>1200</v>
      </c>
    </row>
    <row r="90" spans="1:214" outlineLevel="1">
      <c r="A90" s="12">
        <v>3314</v>
      </c>
      <c r="B90" s="38" t="s">
        <v>159</v>
      </c>
      <c r="C90" s="37" t="s">
        <v>160</v>
      </c>
      <c r="I90" s="36"/>
      <c r="J90" s="14"/>
      <c r="K90" t="s">
        <v>332</v>
      </c>
      <c r="L90" s="118">
        <v>24800</v>
      </c>
      <c r="M90" s="17" t="e">
        <f t="shared" si="211"/>
        <v>#DIV/0!</v>
      </c>
      <c r="N90" s="17" t="e">
        <f t="shared" si="212"/>
        <v>#DIV/0!</v>
      </c>
      <c r="Q90" s="118">
        <v>23000</v>
      </c>
      <c r="R90" s="15">
        <v>9870</v>
      </c>
      <c r="S90" s="118">
        <v>20000</v>
      </c>
      <c r="T90" s="15">
        <f t="shared" si="213"/>
        <v>-3000</v>
      </c>
      <c r="U90" s="16">
        <f t="shared" si="205"/>
        <v>-0.13043478260869568</v>
      </c>
      <c r="V90" s="140">
        <v>23000</v>
      </c>
      <c r="W90">
        <v>-1800</v>
      </c>
      <c r="Y90" s="118">
        <v>20000</v>
      </c>
      <c r="AA90" s="118">
        <v>22000</v>
      </c>
      <c r="AB90" s="185">
        <f t="shared" si="267"/>
        <v>2000</v>
      </c>
      <c r="AC90" s="187">
        <f t="shared" si="214"/>
        <v>2000</v>
      </c>
      <c r="AD90" s="187"/>
      <c r="AE90" s="118">
        <v>24500</v>
      </c>
      <c r="AF90" s="182">
        <f>AE90-AA90</f>
        <v>2500</v>
      </c>
      <c r="AH90" s="15">
        <v>24469.4</v>
      </c>
      <c r="AI90" s="17">
        <f t="shared" si="206"/>
        <v>0.99875102040816333</v>
      </c>
      <c r="AK90" s="118">
        <v>25000</v>
      </c>
      <c r="AS90" s="15">
        <f t="shared" si="215"/>
        <v>25000</v>
      </c>
      <c r="AV90" s="15">
        <f t="shared" si="216"/>
        <v>25000</v>
      </c>
      <c r="AX90" s="15"/>
      <c r="AY90" s="15">
        <f t="shared" si="217"/>
        <v>25000</v>
      </c>
      <c r="BB90" s="15">
        <f t="shared" si="218"/>
        <v>25000</v>
      </c>
      <c r="BD90" s="15">
        <v>3000</v>
      </c>
      <c r="BE90" s="15">
        <f t="shared" si="219"/>
        <v>28000</v>
      </c>
      <c r="BG90" s="15">
        <v>500</v>
      </c>
      <c r="BH90" s="15">
        <f t="shared" si="220"/>
        <v>28500</v>
      </c>
      <c r="BJ90" s="15">
        <v>28038.6</v>
      </c>
      <c r="BK90" s="235">
        <f t="shared" si="221"/>
        <v>0.98381052631578947</v>
      </c>
      <c r="BM90" s="196">
        <f>12*6300</f>
        <v>75600</v>
      </c>
      <c r="BN90" s="235">
        <f t="shared" si="222"/>
        <v>2.6962829813186109</v>
      </c>
      <c r="BO90" s="235">
        <f t="shared" si="223"/>
        <v>2.6526315789473682</v>
      </c>
      <c r="BQ90" s="15"/>
      <c r="BR90" s="15">
        <f t="shared" si="224"/>
        <v>75600</v>
      </c>
      <c r="BT90" s="15"/>
      <c r="BU90" s="15">
        <f t="shared" si="225"/>
        <v>75600</v>
      </c>
      <c r="BW90" s="15"/>
      <c r="BX90" s="15">
        <f t="shared" si="226"/>
        <v>75600</v>
      </c>
      <c r="BZ90" s="15"/>
      <c r="CA90" s="15">
        <f t="shared" si="227"/>
        <v>75600</v>
      </c>
      <c r="CC90" s="15"/>
      <c r="CD90" s="15">
        <f t="shared" si="228"/>
        <v>75600</v>
      </c>
      <c r="CF90" s="15"/>
      <c r="CG90" s="15">
        <f t="shared" si="229"/>
        <v>75600</v>
      </c>
      <c r="CI90" s="15"/>
      <c r="CJ90" s="15">
        <f t="shared" si="230"/>
        <v>75600</v>
      </c>
      <c r="CM90" s="15">
        <f t="shared" si="231"/>
        <v>75600</v>
      </c>
      <c r="CP90" s="15">
        <f t="shared" si="232"/>
        <v>75600</v>
      </c>
      <c r="CS90" s="15">
        <f t="shared" si="233"/>
        <v>75600</v>
      </c>
      <c r="CU90" s="227">
        <v>7000</v>
      </c>
      <c r="CV90" s="15">
        <f t="shared" si="234"/>
        <v>82600</v>
      </c>
      <c r="CX90" s="227"/>
      <c r="CY90" s="15">
        <f t="shared" si="235"/>
        <v>82600</v>
      </c>
      <c r="DA90" s="15">
        <v>82478.87</v>
      </c>
      <c r="DC90" s="15">
        <v>80000</v>
      </c>
      <c r="DE90" s="227">
        <v>-100</v>
      </c>
      <c r="DF90" s="15">
        <f t="shared" si="236"/>
        <v>79900</v>
      </c>
      <c r="DH90" s="15"/>
      <c r="DI90" s="15">
        <f t="shared" si="237"/>
        <v>79900</v>
      </c>
      <c r="DK90" s="15"/>
      <c r="DL90" s="15">
        <f t="shared" si="238"/>
        <v>79900</v>
      </c>
      <c r="DN90" s="15"/>
      <c r="DO90" s="15">
        <f t="shared" si="239"/>
        <v>79900</v>
      </c>
      <c r="DQ90" s="15"/>
      <c r="DR90" s="15">
        <f t="shared" si="240"/>
        <v>79900</v>
      </c>
      <c r="DT90" s="15"/>
      <c r="DU90" s="15">
        <f t="shared" si="241"/>
        <v>79900</v>
      </c>
      <c r="DW90" s="15"/>
      <c r="DX90" s="15">
        <f t="shared" si="242"/>
        <v>79900</v>
      </c>
      <c r="DZ90" s="15"/>
      <c r="EA90" s="15">
        <f t="shared" si="243"/>
        <v>79900</v>
      </c>
      <c r="EC90" s="15"/>
      <c r="ED90" s="15">
        <f t="shared" si="244"/>
        <v>79900</v>
      </c>
      <c r="EF90" s="227">
        <v>1000</v>
      </c>
      <c r="EG90" s="15">
        <f t="shared" si="245"/>
        <v>80900</v>
      </c>
      <c r="EI90" s="15">
        <v>80897</v>
      </c>
      <c r="EK90" s="15">
        <v>82000</v>
      </c>
      <c r="EM90" s="15"/>
      <c r="EN90" s="15">
        <f t="shared" si="246"/>
        <v>82000</v>
      </c>
      <c r="EP90" s="15"/>
      <c r="EQ90" s="15">
        <f t="shared" si="247"/>
        <v>82000</v>
      </c>
      <c r="ES90" s="15"/>
      <c r="ET90" s="15">
        <f t="shared" si="248"/>
        <v>82000</v>
      </c>
      <c r="EW90" s="15">
        <f t="shared" si="249"/>
        <v>82000</v>
      </c>
      <c r="EZ90" s="15">
        <f t="shared" si="250"/>
        <v>82000</v>
      </c>
      <c r="FC90" s="15">
        <f t="shared" si="251"/>
        <v>82000</v>
      </c>
      <c r="FF90" s="15">
        <f t="shared" si="252"/>
        <v>82000</v>
      </c>
      <c r="FI90" s="15">
        <f t="shared" si="253"/>
        <v>82000</v>
      </c>
      <c r="FK90" s="227">
        <v>-7000</v>
      </c>
      <c r="FL90" s="15">
        <f t="shared" si="254"/>
        <v>75000</v>
      </c>
      <c r="FO90" s="15">
        <f t="shared" si="255"/>
        <v>75000</v>
      </c>
      <c r="FR90" s="15">
        <v>75000</v>
      </c>
      <c r="FT90" s="15">
        <v>74720.240000000005</v>
      </c>
      <c r="FV90" s="15">
        <v>75000</v>
      </c>
      <c r="FZ90" s="15">
        <f t="shared" si="257"/>
        <v>75000</v>
      </c>
      <c r="GB90" s="15"/>
      <c r="GC90" s="15">
        <f t="shared" si="258"/>
        <v>75000</v>
      </c>
      <c r="GE90" s="15"/>
      <c r="GF90" s="15">
        <f t="shared" si="259"/>
        <v>75000</v>
      </c>
      <c r="GH90" s="15"/>
      <c r="GI90" s="15">
        <f t="shared" si="260"/>
        <v>75000</v>
      </c>
      <c r="GK90" s="15"/>
      <c r="GL90" s="15">
        <f t="shared" si="261"/>
        <v>75000</v>
      </c>
      <c r="GN90" s="15"/>
      <c r="GO90" s="15">
        <f t="shared" si="262"/>
        <v>75000</v>
      </c>
      <c r="GQ90" s="15"/>
      <c r="GR90" s="15">
        <f t="shared" si="263"/>
        <v>75000</v>
      </c>
      <c r="GT90" s="15"/>
      <c r="GU90" s="15">
        <f t="shared" si="264"/>
        <v>75000</v>
      </c>
      <c r="GW90" s="15"/>
      <c r="GX90" s="15">
        <f t="shared" si="265"/>
        <v>75000</v>
      </c>
      <c r="GZ90" s="15"/>
      <c r="HA90" s="189">
        <f t="shared" si="266"/>
        <v>75000</v>
      </c>
      <c r="HC90" s="189">
        <v>38406.68</v>
      </c>
      <c r="HE90" s="15">
        <v>45000</v>
      </c>
    </row>
    <row r="91" spans="1:214" outlineLevel="1">
      <c r="A91" s="12">
        <v>3314</v>
      </c>
      <c r="B91" s="38" t="s">
        <v>161</v>
      </c>
      <c r="C91" s="37" t="s">
        <v>162</v>
      </c>
      <c r="I91" s="36"/>
      <c r="J91" s="14"/>
      <c r="K91" t="s">
        <v>332</v>
      </c>
      <c r="L91" s="118">
        <v>5000</v>
      </c>
      <c r="M91" s="17" t="e">
        <f t="shared" si="211"/>
        <v>#DIV/0!</v>
      </c>
      <c r="N91" s="17" t="e">
        <f t="shared" si="212"/>
        <v>#DIV/0!</v>
      </c>
      <c r="Q91" s="118">
        <v>5000</v>
      </c>
      <c r="R91" s="15">
        <v>523</v>
      </c>
      <c r="S91" s="118">
        <v>4000</v>
      </c>
      <c r="T91" s="15">
        <f t="shared" si="213"/>
        <v>-1000</v>
      </c>
      <c r="U91" s="16">
        <f t="shared" si="205"/>
        <v>-0.19999999999999996</v>
      </c>
      <c r="Y91" s="118">
        <v>2500</v>
      </c>
      <c r="AA91" s="118">
        <v>2500</v>
      </c>
      <c r="AB91" s="185">
        <f t="shared" si="267"/>
        <v>0</v>
      </c>
      <c r="AC91" s="187">
        <f t="shared" si="214"/>
        <v>0</v>
      </c>
      <c r="AD91" s="187"/>
      <c r="AE91" s="118">
        <v>2500</v>
      </c>
      <c r="AF91" s="182"/>
      <c r="AH91" s="15">
        <v>1030.8</v>
      </c>
      <c r="AI91" s="17">
        <f t="shared" si="206"/>
        <v>0.41231999999999996</v>
      </c>
      <c r="AK91" s="118">
        <v>1200</v>
      </c>
      <c r="AS91" s="15">
        <f t="shared" si="215"/>
        <v>1200</v>
      </c>
      <c r="AV91" s="15">
        <f t="shared" si="216"/>
        <v>1200</v>
      </c>
      <c r="AX91" s="15"/>
      <c r="AY91" s="15">
        <f t="shared" si="217"/>
        <v>1200</v>
      </c>
      <c r="BB91" s="15">
        <f t="shared" si="218"/>
        <v>1200</v>
      </c>
      <c r="BD91" s="15">
        <v>2000</v>
      </c>
      <c r="BE91" s="15">
        <f t="shared" si="219"/>
        <v>3200</v>
      </c>
      <c r="BG91" s="15">
        <v>-1000</v>
      </c>
      <c r="BH91" s="15">
        <f t="shared" si="220"/>
        <v>2200</v>
      </c>
      <c r="BJ91" s="15">
        <v>974</v>
      </c>
      <c r="BK91" s="235">
        <f t="shared" si="221"/>
        <v>0.44272727272727275</v>
      </c>
      <c r="BM91" s="196">
        <f>12*150</f>
        <v>1800</v>
      </c>
      <c r="BN91" s="235">
        <f t="shared" si="222"/>
        <v>1.8480492813141685</v>
      </c>
      <c r="BO91" s="235">
        <f t="shared" si="223"/>
        <v>0.81818181818181823</v>
      </c>
      <c r="BQ91" s="15"/>
      <c r="BR91" s="15">
        <f t="shared" si="224"/>
        <v>1800</v>
      </c>
      <c r="BT91" s="15"/>
      <c r="BU91" s="15">
        <f t="shared" si="225"/>
        <v>1800</v>
      </c>
      <c r="BW91" s="15"/>
      <c r="BX91" s="15">
        <f t="shared" si="226"/>
        <v>1800</v>
      </c>
      <c r="BZ91" s="15"/>
      <c r="CA91" s="15">
        <f t="shared" si="227"/>
        <v>1800</v>
      </c>
      <c r="CC91" s="15"/>
      <c r="CD91" s="15">
        <f t="shared" si="228"/>
        <v>1800</v>
      </c>
      <c r="CF91" s="15"/>
      <c r="CG91" s="15">
        <f t="shared" si="229"/>
        <v>1800</v>
      </c>
      <c r="CI91" s="15"/>
      <c r="CJ91" s="15">
        <f t="shared" si="230"/>
        <v>1800</v>
      </c>
      <c r="CM91" s="15">
        <f t="shared" si="231"/>
        <v>1800</v>
      </c>
      <c r="CP91" s="15">
        <f t="shared" si="232"/>
        <v>1800</v>
      </c>
      <c r="CS91" s="15">
        <f t="shared" si="233"/>
        <v>1800</v>
      </c>
      <c r="CU91" s="227">
        <v>200</v>
      </c>
      <c r="CV91" s="15">
        <f t="shared" si="234"/>
        <v>2000</v>
      </c>
      <c r="CX91" s="227"/>
      <c r="CY91" s="15">
        <f t="shared" si="235"/>
        <v>2000</v>
      </c>
      <c r="DA91" s="15">
        <v>1930.05</v>
      </c>
      <c r="DC91" s="15">
        <v>2000</v>
      </c>
      <c r="DE91" s="15"/>
      <c r="DF91" s="15">
        <f t="shared" si="236"/>
        <v>2000</v>
      </c>
      <c r="DH91" s="15"/>
      <c r="DI91" s="15">
        <f t="shared" si="237"/>
        <v>2000</v>
      </c>
      <c r="DK91" s="15"/>
      <c r="DL91" s="15">
        <f t="shared" si="238"/>
        <v>2000</v>
      </c>
      <c r="DN91" s="15"/>
      <c r="DO91" s="15">
        <f t="shared" si="239"/>
        <v>2000</v>
      </c>
      <c r="DQ91" s="15"/>
      <c r="DR91" s="15">
        <f t="shared" si="240"/>
        <v>2000</v>
      </c>
      <c r="DT91" s="15"/>
      <c r="DU91" s="15">
        <f t="shared" si="241"/>
        <v>2000</v>
      </c>
      <c r="DW91" s="15"/>
      <c r="DX91" s="15">
        <f t="shared" si="242"/>
        <v>2000</v>
      </c>
      <c r="DZ91" s="15"/>
      <c r="EA91" s="15">
        <f t="shared" si="243"/>
        <v>2000</v>
      </c>
      <c r="EC91" s="15"/>
      <c r="ED91" s="15">
        <f t="shared" si="244"/>
        <v>2000</v>
      </c>
      <c r="EF91" s="15"/>
      <c r="EG91" s="15">
        <f t="shared" si="245"/>
        <v>2000</v>
      </c>
      <c r="EI91" s="15">
        <v>1322.8</v>
      </c>
      <c r="EK91" s="15">
        <v>2000</v>
      </c>
      <c r="EM91" s="15"/>
      <c r="EN91" s="15">
        <f t="shared" si="246"/>
        <v>2000</v>
      </c>
      <c r="EP91" s="15"/>
      <c r="EQ91" s="15">
        <f t="shared" si="247"/>
        <v>2000</v>
      </c>
      <c r="ES91" s="15"/>
      <c r="ET91" s="15">
        <f t="shared" si="248"/>
        <v>2000</v>
      </c>
      <c r="EW91" s="15">
        <f t="shared" si="249"/>
        <v>2000</v>
      </c>
      <c r="EZ91" s="15">
        <f t="shared" si="250"/>
        <v>2000</v>
      </c>
      <c r="FC91" s="15">
        <f t="shared" si="251"/>
        <v>2000</v>
      </c>
      <c r="FF91" s="15">
        <f t="shared" si="252"/>
        <v>2000</v>
      </c>
      <c r="FI91" s="15">
        <f t="shared" si="253"/>
        <v>2000</v>
      </c>
      <c r="FK91" s="227">
        <v>-1000</v>
      </c>
      <c r="FL91" s="15">
        <f t="shared" si="254"/>
        <v>1000</v>
      </c>
      <c r="FO91" s="15">
        <f t="shared" si="255"/>
        <v>1000</v>
      </c>
      <c r="FR91" s="15">
        <v>1000</v>
      </c>
      <c r="FT91" s="15">
        <v>926.32</v>
      </c>
      <c r="FV91" s="15">
        <v>1000</v>
      </c>
      <c r="FZ91" s="15">
        <f t="shared" si="257"/>
        <v>1000</v>
      </c>
      <c r="GB91" s="15"/>
      <c r="GC91" s="15">
        <f t="shared" si="258"/>
        <v>1000</v>
      </c>
      <c r="GE91" s="15"/>
      <c r="GF91" s="15">
        <f t="shared" si="259"/>
        <v>1000</v>
      </c>
      <c r="GH91" s="15"/>
      <c r="GI91" s="15">
        <f t="shared" si="260"/>
        <v>1000</v>
      </c>
      <c r="GK91" s="15"/>
      <c r="GL91" s="15">
        <f t="shared" si="261"/>
        <v>1000</v>
      </c>
      <c r="GN91" s="15"/>
      <c r="GO91" s="15">
        <f t="shared" si="262"/>
        <v>1000</v>
      </c>
      <c r="GQ91" s="227">
        <v>2000</v>
      </c>
      <c r="GR91" s="15">
        <f t="shared" si="263"/>
        <v>3000</v>
      </c>
      <c r="GT91" s="15"/>
      <c r="GU91" s="15">
        <f t="shared" si="264"/>
        <v>3000</v>
      </c>
      <c r="GW91" s="15"/>
      <c r="GX91" s="15">
        <f t="shared" si="265"/>
        <v>3000</v>
      </c>
      <c r="GZ91" s="15"/>
      <c r="HA91" s="189">
        <f t="shared" si="266"/>
        <v>3000</v>
      </c>
      <c r="HC91" s="189">
        <v>1401.38</v>
      </c>
      <c r="HE91" s="15">
        <v>2000</v>
      </c>
    </row>
    <row r="92" spans="1:214" outlineLevel="1">
      <c r="A92" s="12">
        <v>3314</v>
      </c>
      <c r="B92" s="1" t="s">
        <v>390</v>
      </c>
      <c r="C92" s="4" t="s">
        <v>391</v>
      </c>
      <c r="I92" s="36"/>
      <c r="J92" s="14"/>
      <c r="M92" s="17"/>
      <c r="N92" s="17"/>
      <c r="U92" s="16"/>
      <c r="Y92" s="118"/>
      <c r="AB92" s="185"/>
      <c r="AC92" s="187"/>
      <c r="AD92" s="187"/>
      <c r="AE92" s="118">
        <v>1700</v>
      </c>
      <c r="AF92" s="182"/>
      <c r="AH92" s="15">
        <v>1694</v>
      </c>
      <c r="AI92" s="17">
        <f t="shared" si="206"/>
        <v>0.99647058823529411</v>
      </c>
      <c r="AK92" s="118">
        <v>1700</v>
      </c>
      <c r="AS92" s="15">
        <f t="shared" si="215"/>
        <v>1700</v>
      </c>
      <c r="AV92" s="15">
        <f t="shared" si="216"/>
        <v>1700</v>
      </c>
      <c r="AX92" s="15"/>
      <c r="AY92" s="15">
        <f t="shared" si="217"/>
        <v>1700</v>
      </c>
      <c r="BB92" s="15">
        <f t="shared" si="218"/>
        <v>1700</v>
      </c>
      <c r="BD92" s="15"/>
      <c r="BE92" s="15">
        <f t="shared" si="219"/>
        <v>1700</v>
      </c>
      <c r="BG92" s="15"/>
      <c r="BH92" s="15">
        <f t="shared" si="220"/>
        <v>1700</v>
      </c>
      <c r="BJ92" s="15">
        <v>1694</v>
      </c>
      <c r="BK92" s="235">
        <f t="shared" si="221"/>
        <v>0.99647058823529411</v>
      </c>
      <c r="BM92" s="15">
        <v>1700</v>
      </c>
      <c r="BN92" s="235">
        <f t="shared" si="222"/>
        <v>1.0035419126328218</v>
      </c>
      <c r="BO92" s="235">
        <f t="shared" si="223"/>
        <v>1</v>
      </c>
      <c r="BQ92" s="15"/>
      <c r="BR92" s="15">
        <f t="shared" si="224"/>
        <v>1700</v>
      </c>
      <c r="BT92" s="15"/>
      <c r="BU92" s="15">
        <f t="shared" si="225"/>
        <v>1700</v>
      </c>
      <c r="BW92" s="15"/>
      <c r="BX92" s="15">
        <f t="shared" si="226"/>
        <v>1700</v>
      </c>
      <c r="BZ92" s="15"/>
      <c r="CA92" s="15">
        <f t="shared" si="227"/>
        <v>1700</v>
      </c>
      <c r="CC92" s="15"/>
      <c r="CD92" s="15">
        <f t="shared" si="228"/>
        <v>1700</v>
      </c>
      <c r="CF92" s="15"/>
      <c r="CG92" s="15">
        <f t="shared" si="229"/>
        <v>1700</v>
      </c>
      <c r="CI92" s="15"/>
      <c r="CJ92" s="15">
        <f t="shared" si="230"/>
        <v>1700</v>
      </c>
      <c r="CM92" s="15">
        <f t="shared" si="231"/>
        <v>1700</v>
      </c>
      <c r="CP92" s="15">
        <f t="shared" si="232"/>
        <v>1700</v>
      </c>
      <c r="CS92" s="15">
        <f t="shared" si="233"/>
        <v>1700</v>
      </c>
      <c r="CV92" s="15">
        <f t="shared" si="234"/>
        <v>1700</v>
      </c>
      <c r="CY92" s="15">
        <f t="shared" si="235"/>
        <v>1700</v>
      </c>
      <c r="DA92" s="15">
        <v>1694</v>
      </c>
      <c r="DC92" s="15">
        <v>1700</v>
      </c>
      <c r="DE92" s="15"/>
      <c r="DF92" s="15">
        <f t="shared" si="236"/>
        <v>1700</v>
      </c>
      <c r="DH92" s="15"/>
      <c r="DI92" s="15">
        <f t="shared" si="237"/>
        <v>1700</v>
      </c>
      <c r="DK92" s="15"/>
      <c r="DL92" s="15">
        <f t="shared" si="238"/>
        <v>1700</v>
      </c>
      <c r="DN92" s="15"/>
      <c r="DO92" s="15">
        <f t="shared" si="239"/>
        <v>1700</v>
      </c>
      <c r="DQ92" s="15"/>
      <c r="DR92" s="15">
        <f t="shared" si="240"/>
        <v>1700</v>
      </c>
      <c r="DT92" s="15"/>
      <c r="DU92" s="15">
        <f t="shared" si="241"/>
        <v>1700</v>
      </c>
      <c r="DW92" s="15"/>
      <c r="DX92" s="15">
        <f t="shared" si="242"/>
        <v>1700</v>
      </c>
      <c r="DZ92" s="15"/>
      <c r="EA92" s="15">
        <f t="shared" si="243"/>
        <v>1700</v>
      </c>
      <c r="EC92" s="15"/>
      <c r="ED92" s="15">
        <f t="shared" si="244"/>
        <v>1700</v>
      </c>
      <c r="EF92" s="15"/>
      <c r="EG92" s="15">
        <f t="shared" si="245"/>
        <v>1700</v>
      </c>
      <c r="EI92" s="15">
        <v>1694</v>
      </c>
      <c r="EK92" s="15">
        <v>1700</v>
      </c>
      <c r="EM92" s="15"/>
      <c r="EN92" s="15">
        <f t="shared" si="246"/>
        <v>1700</v>
      </c>
      <c r="EP92" s="15"/>
      <c r="EQ92" s="15">
        <f t="shared" si="247"/>
        <v>1700</v>
      </c>
      <c r="ES92" s="15"/>
      <c r="ET92" s="15">
        <f t="shared" si="248"/>
        <v>1700</v>
      </c>
      <c r="EW92" s="15">
        <f t="shared" si="249"/>
        <v>1700</v>
      </c>
      <c r="EZ92" s="15">
        <f t="shared" si="250"/>
        <v>1700</v>
      </c>
      <c r="FC92" s="15">
        <f t="shared" si="251"/>
        <v>1700</v>
      </c>
      <c r="FF92" s="15">
        <f t="shared" si="252"/>
        <v>1700</v>
      </c>
      <c r="FI92" s="15">
        <f t="shared" si="253"/>
        <v>1700</v>
      </c>
      <c r="FK92" s="227">
        <v>-1700</v>
      </c>
      <c r="FL92" s="15">
        <f t="shared" si="254"/>
        <v>0</v>
      </c>
      <c r="FO92" s="15">
        <f t="shared" si="255"/>
        <v>0</v>
      </c>
      <c r="FR92" s="15">
        <v>0</v>
      </c>
      <c r="FZ92" s="15">
        <f t="shared" si="257"/>
        <v>0</v>
      </c>
      <c r="GB92" s="15"/>
      <c r="GC92" s="15">
        <f t="shared" si="258"/>
        <v>0</v>
      </c>
      <c r="GE92" s="15"/>
      <c r="GF92" s="15">
        <f t="shared" si="259"/>
        <v>0</v>
      </c>
      <c r="GH92" s="15"/>
      <c r="GI92" s="15">
        <f t="shared" si="260"/>
        <v>0</v>
      </c>
      <c r="GK92" s="15"/>
      <c r="GL92" s="15">
        <f t="shared" si="261"/>
        <v>0</v>
      </c>
      <c r="GN92" s="15"/>
      <c r="GO92" s="15">
        <f t="shared" si="262"/>
        <v>0</v>
      </c>
      <c r="GQ92" s="15"/>
      <c r="GR92" s="15">
        <f t="shared" si="263"/>
        <v>0</v>
      </c>
      <c r="GT92" s="15"/>
      <c r="GU92" s="15">
        <f t="shared" si="264"/>
        <v>0</v>
      </c>
      <c r="GW92" s="15"/>
      <c r="GX92" s="15">
        <f t="shared" si="265"/>
        <v>0</v>
      </c>
      <c r="GZ92" s="15"/>
      <c r="HA92" s="189">
        <f t="shared" si="266"/>
        <v>0</v>
      </c>
      <c r="HE92" s="15">
        <v>0</v>
      </c>
    </row>
    <row r="93" spans="1:214" outlineLevel="1">
      <c r="A93" s="12">
        <v>3314</v>
      </c>
      <c r="B93" s="1" t="s">
        <v>115</v>
      </c>
      <c r="C93" s="4" t="s">
        <v>116</v>
      </c>
      <c r="I93" s="36"/>
      <c r="J93" s="14"/>
      <c r="L93" s="118">
        <v>1000</v>
      </c>
      <c r="M93" s="17" t="e">
        <f t="shared" si="211"/>
        <v>#DIV/0!</v>
      </c>
      <c r="N93" s="17" t="e">
        <f t="shared" si="212"/>
        <v>#DIV/0!</v>
      </c>
      <c r="Q93" s="118">
        <v>1000</v>
      </c>
      <c r="R93" s="15">
        <v>0</v>
      </c>
      <c r="S93" s="118">
        <v>4000</v>
      </c>
      <c r="T93" s="15">
        <f t="shared" si="213"/>
        <v>3000</v>
      </c>
      <c r="U93" s="16">
        <f t="shared" si="205"/>
        <v>3</v>
      </c>
      <c r="Y93" s="118">
        <v>4000</v>
      </c>
      <c r="AA93" s="118">
        <v>0</v>
      </c>
      <c r="AB93" s="185">
        <f t="shared" si="267"/>
        <v>-4000</v>
      </c>
      <c r="AC93" s="187">
        <f t="shared" si="214"/>
        <v>-4000</v>
      </c>
      <c r="AD93" s="187"/>
      <c r="AE93" s="118">
        <v>0</v>
      </c>
      <c r="AF93" s="182"/>
      <c r="AH93" s="15">
        <v>0</v>
      </c>
      <c r="AI93" s="17"/>
      <c r="AK93" s="118">
        <v>1000</v>
      </c>
      <c r="AS93" s="15">
        <f t="shared" si="215"/>
        <v>1000</v>
      </c>
      <c r="AV93" s="15">
        <f t="shared" si="216"/>
        <v>1000</v>
      </c>
      <c r="AX93" s="15"/>
      <c r="AY93" s="15">
        <f t="shared" si="217"/>
        <v>1000</v>
      </c>
      <c r="BB93" s="15">
        <f t="shared" si="218"/>
        <v>1000</v>
      </c>
      <c r="BD93" s="15">
        <v>-1000</v>
      </c>
      <c r="BE93" s="15">
        <f t="shared" si="219"/>
        <v>0</v>
      </c>
      <c r="BG93" s="15"/>
      <c r="BH93" s="15">
        <f t="shared" si="220"/>
        <v>0</v>
      </c>
      <c r="BJ93" s="15">
        <v>0</v>
      </c>
      <c r="BK93" s="235" t="e">
        <f t="shared" si="221"/>
        <v>#DIV/0!</v>
      </c>
      <c r="BM93" s="15">
        <v>0</v>
      </c>
      <c r="BN93" s="235" t="e">
        <f t="shared" si="222"/>
        <v>#DIV/0!</v>
      </c>
      <c r="BO93" s="235" t="e">
        <f t="shared" si="223"/>
        <v>#DIV/0!</v>
      </c>
      <c r="BQ93" s="15"/>
      <c r="BR93" s="15">
        <f t="shared" si="224"/>
        <v>0</v>
      </c>
      <c r="BT93" s="15"/>
      <c r="BU93" s="15">
        <f t="shared" si="225"/>
        <v>0</v>
      </c>
      <c r="BW93" s="15"/>
      <c r="BX93" s="15">
        <f t="shared" si="226"/>
        <v>0</v>
      </c>
      <c r="BZ93" s="15"/>
      <c r="CA93" s="15">
        <f t="shared" si="227"/>
        <v>0</v>
      </c>
      <c r="CC93" s="15"/>
      <c r="CD93" s="15">
        <f t="shared" si="228"/>
        <v>0</v>
      </c>
      <c r="CF93" s="15"/>
      <c r="CG93" s="15">
        <f t="shared" si="229"/>
        <v>0</v>
      </c>
      <c r="CI93" s="15"/>
      <c r="CJ93" s="15">
        <f t="shared" si="230"/>
        <v>0</v>
      </c>
      <c r="CM93" s="15">
        <f t="shared" si="231"/>
        <v>0</v>
      </c>
      <c r="CP93" s="15">
        <f t="shared" si="232"/>
        <v>0</v>
      </c>
      <c r="CS93" s="15">
        <f t="shared" si="233"/>
        <v>0</v>
      </c>
      <c r="CV93" s="15">
        <f t="shared" si="234"/>
        <v>0</v>
      </c>
      <c r="CY93" s="15">
        <f t="shared" si="235"/>
        <v>0</v>
      </c>
      <c r="DA93" s="15">
        <v>0</v>
      </c>
      <c r="DC93" s="15">
        <v>0</v>
      </c>
      <c r="DE93" s="15"/>
      <c r="DF93" s="15">
        <f t="shared" si="236"/>
        <v>0</v>
      </c>
      <c r="DH93" s="15"/>
      <c r="DI93" s="15">
        <f t="shared" si="237"/>
        <v>0</v>
      </c>
      <c r="DK93" s="15"/>
      <c r="DL93" s="15">
        <f t="shared" si="238"/>
        <v>0</v>
      </c>
      <c r="DN93" s="15"/>
      <c r="DO93" s="15">
        <f t="shared" si="239"/>
        <v>0</v>
      </c>
      <c r="DQ93" s="15"/>
      <c r="DR93" s="15">
        <f t="shared" si="240"/>
        <v>0</v>
      </c>
      <c r="DT93" s="15"/>
      <c r="DU93" s="15">
        <f t="shared" si="241"/>
        <v>0</v>
      </c>
      <c r="DW93" s="15"/>
      <c r="DX93" s="15">
        <f t="shared" si="242"/>
        <v>0</v>
      </c>
      <c r="DZ93" s="15"/>
      <c r="EA93" s="15">
        <f t="shared" si="243"/>
        <v>0</v>
      </c>
      <c r="EC93" s="15"/>
      <c r="ED93" s="15">
        <f t="shared" si="244"/>
        <v>0</v>
      </c>
      <c r="EF93" s="15"/>
      <c r="EG93" s="15">
        <f t="shared" si="245"/>
        <v>0</v>
      </c>
      <c r="EK93" s="15"/>
      <c r="EM93" s="15"/>
      <c r="EN93" s="15">
        <f t="shared" si="246"/>
        <v>0</v>
      </c>
      <c r="EP93" s="15"/>
      <c r="EQ93" s="15">
        <f t="shared" si="247"/>
        <v>0</v>
      </c>
      <c r="ES93" s="15"/>
      <c r="ET93" s="15">
        <f t="shared" si="248"/>
        <v>0</v>
      </c>
      <c r="EW93" s="15">
        <f t="shared" si="249"/>
        <v>0</v>
      </c>
      <c r="EZ93" s="15">
        <f t="shared" si="250"/>
        <v>0</v>
      </c>
      <c r="FC93" s="15">
        <f t="shared" si="251"/>
        <v>0</v>
      </c>
      <c r="FF93" s="15">
        <f t="shared" si="252"/>
        <v>0</v>
      </c>
      <c r="FI93" s="15">
        <f t="shared" si="253"/>
        <v>0</v>
      </c>
      <c r="FL93" s="15">
        <f t="shared" si="254"/>
        <v>0</v>
      </c>
      <c r="FO93" s="15">
        <f t="shared" si="255"/>
        <v>0</v>
      </c>
      <c r="FR93" s="15">
        <v>0</v>
      </c>
      <c r="FZ93" s="15">
        <f t="shared" si="257"/>
        <v>0</v>
      </c>
      <c r="GB93" s="15"/>
      <c r="GC93" s="15">
        <f t="shared" si="258"/>
        <v>0</v>
      </c>
      <c r="GE93" s="15"/>
      <c r="GF93" s="15">
        <f t="shared" si="259"/>
        <v>0</v>
      </c>
      <c r="GH93" s="15"/>
      <c r="GI93" s="15">
        <f t="shared" si="260"/>
        <v>0</v>
      </c>
      <c r="GK93" s="15"/>
      <c r="GL93" s="15">
        <f t="shared" si="261"/>
        <v>0</v>
      </c>
      <c r="GN93" s="15"/>
      <c r="GO93" s="15">
        <f t="shared" si="262"/>
        <v>0</v>
      </c>
      <c r="GQ93" s="15"/>
      <c r="GR93" s="15">
        <f t="shared" si="263"/>
        <v>0</v>
      </c>
      <c r="GT93" s="15"/>
      <c r="GU93" s="15">
        <f t="shared" si="264"/>
        <v>0</v>
      </c>
      <c r="GW93" s="15"/>
      <c r="GX93" s="15">
        <f t="shared" si="265"/>
        <v>0</v>
      </c>
      <c r="GZ93" s="15"/>
      <c r="HA93" s="189">
        <f t="shared" si="266"/>
        <v>0</v>
      </c>
      <c r="HE93" s="15">
        <v>0</v>
      </c>
    </row>
    <row r="94" spans="1:214" outlineLevel="1">
      <c r="A94" s="12">
        <v>3314</v>
      </c>
      <c r="B94" s="1" t="s">
        <v>117</v>
      </c>
      <c r="C94" s="4" t="s">
        <v>118</v>
      </c>
      <c r="I94" s="36"/>
      <c r="J94" s="14"/>
      <c r="K94" t="s">
        <v>332</v>
      </c>
      <c r="L94" s="118">
        <v>2000</v>
      </c>
      <c r="M94" s="17" t="e">
        <f t="shared" si="211"/>
        <v>#DIV/0!</v>
      </c>
      <c r="N94" s="17" t="e">
        <f t="shared" si="212"/>
        <v>#DIV/0!</v>
      </c>
      <c r="Q94" s="118">
        <v>2000</v>
      </c>
      <c r="R94" s="15">
        <v>484</v>
      </c>
      <c r="S94" s="118">
        <v>2000</v>
      </c>
      <c r="T94" s="15">
        <f t="shared" si="213"/>
        <v>0</v>
      </c>
      <c r="U94" s="16">
        <f t="shared" si="205"/>
        <v>0</v>
      </c>
      <c r="Y94" s="118">
        <v>2000</v>
      </c>
      <c r="AA94" s="118">
        <v>1000</v>
      </c>
      <c r="AB94" s="185">
        <f t="shared" si="267"/>
        <v>-1000</v>
      </c>
      <c r="AC94" s="187">
        <f t="shared" si="214"/>
        <v>-1000</v>
      </c>
      <c r="AD94" s="187"/>
      <c r="AE94" s="118">
        <v>2200</v>
      </c>
      <c r="AF94" s="182">
        <f>AE94-AA94</f>
        <v>1200</v>
      </c>
      <c r="AH94" s="15">
        <v>2134</v>
      </c>
      <c r="AI94" s="17">
        <f t="shared" si="206"/>
        <v>0.97</v>
      </c>
      <c r="AK94" s="118">
        <v>6000</v>
      </c>
      <c r="AS94" s="15">
        <f t="shared" si="215"/>
        <v>6000</v>
      </c>
      <c r="AV94" s="15">
        <f t="shared" si="216"/>
        <v>6000</v>
      </c>
      <c r="AX94" s="15"/>
      <c r="AY94" s="15">
        <f t="shared" si="217"/>
        <v>6000</v>
      </c>
      <c r="BB94" s="15">
        <f t="shared" si="218"/>
        <v>6000</v>
      </c>
      <c r="BD94" s="15"/>
      <c r="BE94" s="15">
        <f t="shared" si="219"/>
        <v>6000</v>
      </c>
      <c r="BG94" s="15">
        <v>500</v>
      </c>
      <c r="BH94" s="15">
        <f t="shared" si="220"/>
        <v>6500</v>
      </c>
      <c r="BJ94" s="15">
        <v>6450</v>
      </c>
      <c r="BK94" s="235">
        <f t="shared" si="221"/>
        <v>0.99230769230769234</v>
      </c>
      <c r="BM94" s="15">
        <v>1000</v>
      </c>
      <c r="BN94" s="235">
        <f t="shared" si="222"/>
        <v>0.15503875968992248</v>
      </c>
      <c r="BO94" s="235">
        <f t="shared" si="223"/>
        <v>0.15384615384615385</v>
      </c>
      <c r="BQ94" s="15"/>
      <c r="BR94" s="15">
        <f t="shared" si="224"/>
        <v>1000</v>
      </c>
      <c r="BT94" s="15"/>
      <c r="BU94" s="15">
        <f t="shared" si="225"/>
        <v>1000</v>
      </c>
      <c r="BW94" s="15"/>
      <c r="BX94" s="15">
        <f t="shared" si="226"/>
        <v>1000</v>
      </c>
      <c r="BZ94" s="15"/>
      <c r="CA94" s="15">
        <f t="shared" si="227"/>
        <v>1000</v>
      </c>
      <c r="CC94" s="15"/>
      <c r="CD94" s="15">
        <f t="shared" si="228"/>
        <v>1000</v>
      </c>
      <c r="CF94" s="15"/>
      <c r="CG94" s="15">
        <f t="shared" si="229"/>
        <v>1000</v>
      </c>
      <c r="CI94" s="15"/>
      <c r="CJ94" s="15">
        <f t="shared" si="230"/>
        <v>1000</v>
      </c>
      <c r="CM94" s="15">
        <f t="shared" si="231"/>
        <v>1000</v>
      </c>
      <c r="CP94" s="15">
        <f t="shared" si="232"/>
        <v>1000</v>
      </c>
      <c r="CS94" s="15">
        <f t="shared" si="233"/>
        <v>1000</v>
      </c>
      <c r="CU94" s="227">
        <v>-1000</v>
      </c>
      <c r="CV94" s="15">
        <f t="shared" si="234"/>
        <v>0</v>
      </c>
      <c r="CX94" s="227"/>
      <c r="CY94" s="15">
        <f t="shared" si="235"/>
        <v>0</v>
      </c>
      <c r="DA94" s="15">
        <v>0</v>
      </c>
      <c r="DC94" s="15">
        <v>0</v>
      </c>
      <c r="DE94" s="15"/>
      <c r="DF94" s="15">
        <f t="shared" si="236"/>
        <v>0</v>
      </c>
      <c r="DH94" s="15"/>
      <c r="DI94" s="15">
        <f t="shared" si="237"/>
        <v>0</v>
      </c>
      <c r="DK94" s="15"/>
      <c r="DL94" s="15">
        <f t="shared" si="238"/>
        <v>0</v>
      </c>
      <c r="DN94" s="15"/>
      <c r="DO94" s="15">
        <f t="shared" si="239"/>
        <v>0</v>
      </c>
      <c r="DQ94" s="15"/>
      <c r="DR94" s="15">
        <f t="shared" si="240"/>
        <v>0</v>
      </c>
      <c r="DT94" s="15"/>
      <c r="DU94" s="15">
        <f t="shared" si="241"/>
        <v>0</v>
      </c>
      <c r="DW94" s="15"/>
      <c r="DX94" s="15">
        <f t="shared" si="242"/>
        <v>0</v>
      </c>
      <c r="DZ94" s="15"/>
      <c r="EA94" s="15">
        <f t="shared" si="243"/>
        <v>0</v>
      </c>
      <c r="EC94" s="15"/>
      <c r="ED94" s="15">
        <f t="shared" si="244"/>
        <v>0</v>
      </c>
      <c r="EF94" s="15"/>
      <c r="EG94" s="15">
        <f t="shared" si="245"/>
        <v>0</v>
      </c>
      <c r="EK94" s="15"/>
      <c r="EM94" s="15"/>
      <c r="EN94" s="15">
        <f t="shared" si="246"/>
        <v>0</v>
      </c>
      <c r="EP94" s="15"/>
      <c r="EQ94" s="15">
        <f t="shared" si="247"/>
        <v>0</v>
      </c>
      <c r="ES94" s="15"/>
      <c r="ET94" s="15">
        <f t="shared" si="248"/>
        <v>0</v>
      </c>
      <c r="EW94" s="15">
        <f t="shared" si="249"/>
        <v>0</v>
      </c>
      <c r="EZ94" s="15">
        <f t="shared" si="250"/>
        <v>0</v>
      </c>
      <c r="FC94" s="15">
        <f t="shared" si="251"/>
        <v>0</v>
      </c>
      <c r="FF94" s="15">
        <f t="shared" si="252"/>
        <v>0</v>
      </c>
      <c r="FI94" s="15">
        <f t="shared" si="253"/>
        <v>0</v>
      </c>
      <c r="FL94" s="15">
        <f t="shared" si="254"/>
        <v>0</v>
      </c>
      <c r="FO94" s="15">
        <f t="shared" si="255"/>
        <v>0</v>
      </c>
      <c r="FR94" s="15">
        <v>0</v>
      </c>
      <c r="FZ94" s="15">
        <f t="shared" si="257"/>
        <v>0</v>
      </c>
      <c r="GB94" s="15"/>
      <c r="GC94" s="15">
        <f t="shared" si="258"/>
        <v>0</v>
      </c>
      <c r="GE94" s="15"/>
      <c r="GF94" s="15">
        <f t="shared" si="259"/>
        <v>0</v>
      </c>
      <c r="GH94" s="15"/>
      <c r="GI94" s="15">
        <f t="shared" si="260"/>
        <v>0</v>
      </c>
      <c r="GK94" s="15"/>
      <c r="GL94" s="15">
        <f t="shared" si="261"/>
        <v>0</v>
      </c>
      <c r="GN94" s="15"/>
      <c r="GO94" s="15">
        <f t="shared" si="262"/>
        <v>0</v>
      </c>
      <c r="GQ94" s="15"/>
      <c r="GR94" s="15">
        <f t="shared" si="263"/>
        <v>0</v>
      </c>
      <c r="GT94" s="15"/>
      <c r="GU94" s="15">
        <f t="shared" si="264"/>
        <v>0</v>
      </c>
      <c r="GW94" s="15"/>
      <c r="GX94" s="15">
        <f t="shared" si="265"/>
        <v>0</v>
      </c>
      <c r="GZ94" s="15"/>
      <c r="HA94" s="189">
        <f t="shared" si="266"/>
        <v>0</v>
      </c>
      <c r="HE94" s="15">
        <v>0</v>
      </c>
    </row>
    <row r="95" spans="1:214" outlineLevel="1">
      <c r="A95" s="12">
        <v>3314</v>
      </c>
      <c r="B95" s="38" t="s">
        <v>148</v>
      </c>
      <c r="C95" s="37" t="s">
        <v>149</v>
      </c>
      <c r="I95" s="36"/>
      <c r="J95" s="14"/>
      <c r="L95" s="118">
        <v>1000</v>
      </c>
      <c r="M95" s="17" t="e">
        <f t="shared" si="211"/>
        <v>#DIV/0!</v>
      </c>
      <c r="N95" s="17" t="e">
        <f t="shared" si="212"/>
        <v>#DIV/0!</v>
      </c>
      <c r="Q95" s="118">
        <v>1000</v>
      </c>
      <c r="R95" s="15">
        <v>0</v>
      </c>
      <c r="S95" s="118">
        <v>0</v>
      </c>
      <c r="T95" s="15">
        <f t="shared" si="213"/>
        <v>-1000</v>
      </c>
      <c r="U95" s="16">
        <f t="shared" si="205"/>
        <v>-1</v>
      </c>
      <c r="Y95" s="118">
        <v>0</v>
      </c>
      <c r="AA95" s="118">
        <v>0</v>
      </c>
      <c r="AB95" s="185">
        <f t="shared" si="267"/>
        <v>0</v>
      </c>
      <c r="AC95" s="187">
        <f t="shared" si="214"/>
        <v>0</v>
      </c>
      <c r="AD95" s="187"/>
      <c r="AE95" s="118">
        <v>0</v>
      </c>
      <c r="AF95" s="182"/>
      <c r="AH95" s="15">
        <v>0</v>
      </c>
      <c r="AI95" s="17"/>
      <c r="AK95" s="118">
        <v>0</v>
      </c>
      <c r="AX95" s="15"/>
      <c r="BD95" s="15"/>
      <c r="BG95" s="15"/>
      <c r="DE95" s="15"/>
      <c r="DH95" s="15"/>
      <c r="DK95" s="15"/>
      <c r="DN95" s="15"/>
      <c r="DQ95" s="15"/>
      <c r="DT95" s="15"/>
      <c r="DW95" s="15"/>
      <c r="DZ95" s="15"/>
      <c r="EC95" s="15"/>
      <c r="EF95" s="15"/>
      <c r="EK95" s="15"/>
      <c r="EM95" s="15"/>
      <c r="EP95" s="15"/>
      <c r="ES95" s="15"/>
      <c r="GB95" s="15"/>
      <c r="GE95" s="15"/>
      <c r="GH95" s="15"/>
      <c r="GK95" s="15"/>
      <c r="GN95" s="15"/>
      <c r="GQ95" s="15"/>
      <c r="GT95" s="15"/>
      <c r="GW95" s="15"/>
      <c r="GZ95" s="15"/>
    </row>
    <row r="96" spans="1:214" ht="15.75" customHeight="1" thickBot="1">
      <c r="A96" s="54" t="s">
        <v>322</v>
      </c>
      <c r="B96" s="55" t="s">
        <v>316</v>
      </c>
      <c r="C96" s="283" t="s">
        <v>321</v>
      </c>
      <c r="D96" s="57" t="e">
        <f>#REF!</f>
        <v>#REF!</v>
      </c>
      <c r="E96" s="58"/>
      <c r="F96" s="57" t="e">
        <f>#REF!</f>
        <v>#REF!</v>
      </c>
      <c r="G96" s="58"/>
      <c r="H96" s="57"/>
      <c r="I96" s="57" t="e">
        <f>#REF!</f>
        <v>#REF!</v>
      </c>
      <c r="J96" s="138" t="e">
        <f>I96/$I$350</f>
        <v>#REF!</v>
      </c>
      <c r="K96" s="60"/>
      <c r="L96" s="122">
        <f>SUM(L86:L95)</f>
        <v>47799.92</v>
      </c>
      <c r="M96" s="61" t="e">
        <f t="shared" ref="M96:M103" si="268">L96/F96-1</f>
        <v>#REF!</v>
      </c>
      <c r="N96" s="61" t="e">
        <f t="shared" ref="N96:N103" si="269">L96/I96-1</f>
        <v>#REF!</v>
      </c>
      <c r="O96" s="17">
        <f>L96/$L$350</f>
        <v>1.1090468883349771E-2</v>
      </c>
      <c r="P96" s="17"/>
      <c r="Q96" s="122">
        <f>SUM(Q86:Q95)</f>
        <v>46000</v>
      </c>
      <c r="R96" s="122">
        <f>SUM(R86:R95)</f>
        <v>14900</v>
      </c>
      <c r="S96" s="122">
        <f>SUM(S86:S95)</f>
        <v>41650</v>
      </c>
      <c r="T96" s="122">
        <f>SUM(T86:T95)</f>
        <v>-4350</v>
      </c>
      <c r="U96" s="155">
        <f t="shared" si="205"/>
        <v>-9.4565217391304301E-2</v>
      </c>
      <c r="Y96" s="122">
        <f>SUM(Y86:Y95)</f>
        <v>40150</v>
      </c>
      <c r="AA96" s="122">
        <f>SUM(AA86:AA95)</f>
        <v>35700</v>
      </c>
      <c r="AB96" s="122">
        <f>SUM(AB86:AB95)</f>
        <v>-4450</v>
      </c>
      <c r="AE96" s="122">
        <f>SUM(AE86:AE95)</f>
        <v>41100</v>
      </c>
      <c r="AF96" s="182"/>
      <c r="AH96" s="122">
        <f>SUM(AH86:AH95)</f>
        <v>36090.800000000003</v>
      </c>
      <c r="AI96" s="17">
        <f t="shared" si="206"/>
        <v>0.8781216545012166</v>
      </c>
      <c r="AK96" s="122">
        <f>SUM(AK86:AK95)</f>
        <v>49600</v>
      </c>
      <c r="AL96" s="193">
        <f t="shared" ref="AL96:AL97" si="270">AK96/L96</f>
        <v>1.0376586404328711</v>
      </c>
      <c r="AM96" s="17">
        <f t="shared" ref="AM96:AM97" si="271">AK96/AE96</f>
        <v>1.2068126520681266</v>
      </c>
      <c r="AN96" s="17">
        <f t="shared" ref="AN96:AN97" si="272">AK96/AH96</f>
        <v>1.3743114588759462</v>
      </c>
      <c r="AS96" s="122">
        <f>SUM(AS86:AS95)</f>
        <v>49600</v>
      </c>
      <c r="AU96" s="122">
        <f>SUM(AU86:AU95)</f>
        <v>0</v>
      </c>
      <c r="AV96" s="122">
        <f>SUM(AV86:AV95)</f>
        <v>49600</v>
      </c>
      <c r="AX96" s="122">
        <f>SUM(AX86:AX95)</f>
        <v>0</v>
      </c>
      <c r="AY96" s="122">
        <f>SUM(AY86:AY95)</f>
        <v>49600</v>
      </c>
      <c r="BA96" s="122">
        <f>SUM(BA86:BA95)</f>
        <v>0</v>
      </c>
      <c r="BB96" s="122">
        <f>SUM(BB86:BB95)</f>
        <v>49600</v>
      </c>
      <c r="BD96" s="122">
        <f>SUM(BD86:BD95)</f>
        <v>4000</v>
      </c>
      <c r="BE96" s="122">
        <f>SUM(BE86:BE95)</f>
        <v>53600</v>
      </c>
      <c r="BG96" s="122">
        <f>SUM(BG86:BG95)</f>
        <v>-1000</v>
      </c>
      <c r="BH96" s="122">
        <f>SUM(BH86:BH95)</f>
        <v>52600</v>
      </c>
      <c r="BJ96" s="122">
        <f>SUM(BJ86:BJ95)</f>
        <v>50636.35</v>
      </c>
      <c r="BK96" s="236">
        <f t="shared" ref="BK96:BK97" si="273">BJ96/BH96</f>
        <v>0.96266825095057029</v>
      </c>
      <c r="BM96" s="122">
        <f>SUM(BM86:BM95)</f>
        <v>95800</v>
      </c>
      <c r="BN96" s="236">
        <f t="shared" ref="BN96:BN97" si="274">BM96/BJ96</f>
        <v>1.8919215148801207</v>
      </c>
      <c r="BO96" s="236">
        <f t="shared" ref="BO96:BO97" si="275">BM96/BH96</f>
        <v>1.8212927756653992</v>
      </c>
      <c r="BQ96" s="122">
        <f>SUM(BQ86:BQ95)</f>
        <v>0</v>
      </c>
      <c r="BR96" s="122">
        <f>SUM(BR86:BR95)</f>
        <v>95800</v>
      </c>
      <c r="BT96" s="122">
        <f>SUM(BT86:BT95)</f>
        <v>0</v>
      </c>
      <c r="BU96" s="122">
        <f>SUM(BU86:BU95)</f>
        <v>95800</v>
      </c>
      <c r="BW96" s="122">
        <f>SUM(BW86:BW95)</f>
        <v>0</v>
      </c>
      <c r="BX96" s="122">
        <f>SUM(BX86:BX95)</f>
        <v>95800</v>
      </c>
      <c r="BZ96" s="122">
        <f>SUM(BZ86:BZ95)</f>
        <v>0</v>
      </c>
      <c r="CA96" s="122">
        <f>SUM(CA86:CA95)</f>
        <v>95800</v>
      </c>
      <c r="CC96" s="122">
        <f>SUM(CC86:CC95)</f>
        <v>0</v>
      </c>
      <c r="CD96" s="122">
        <f>SUM(CD86:CD95)</f>
        <v>95800</v>
      </c>
      <c r="CF96" s="122">
        <f>SUM(CF86:CF95)</f>
        <v>0</v>
      </c>
      <c r="CG96" s="122">
        <f>SUM(CG86:CG95)</f>
        <v>95800</v>
      </c>
      <c r="CI96" s="122">
        <f>SUM(CI86:CI95)</f>
        <v>0</v>
      </c>
      <c r="CJ96" s="122">
        <f>SUM(CJ86:CJ95)</f>
        <v>95800</v>
      </c>
      <c r="CL96" s="319">
        <f>SUM(CL86:CL95)</f>
        <v>0</v>
      </c>
      <c r="CM96" s="122">
        <f>SUM(CM86:CM95)</f>
        <v>95800</v>
      </c>
      <c r="CO96" s="122">
        <f>SUM(CO86:CO95)</f>
        <v>0</v>
      </c>
      <c r="CP96" s="122">
        <f>SUM(CP86:CP95)</f>
        <v>95800</v>
      </c>
      <c r="CR96" s="122">
        <f>SUM(CR86:CR95)</f>
        <v>0</v>
      </c>
      <c r="CS96" s="122">
        <f>SUM(CS86:CS95)</f>
        <v>95800</v>
      </c>
      <c r="CU96" s="122">
        <f>SUM(CU86:CU95)</f>
        <v>6200</v>
      </c>
      <c r="CV96" s="122">
        <f>SUM(CV86:CV95)</f>
        <v>102000</v>
      </c>
      <c r="CX96" s="122">
        <f>SUM(CX86:CX95)</f>
        <v>0</v>
      </c>
      <c r="CY96" s="122">
        <f>SUM(CY86:CY95)</f>
        <v>102000</v>
      </c>
      <c r="DA96" s="122">
        <f>SUM(DA86:DA95)</f>
        <v>101379.42</v>
      </c>
      <c r="DC96" s="122">
        <f>SUM(DC86:DC95)</f>
        <v>99300</v>
      </c>
      <c r="DE96" s="122">
        <f>SUM(DE86:DE95)</f>
        <v>0</v>
      </c>
      <c r="DF96" s="122">
        <f>SUM(DF86:DF95)</f>
        <v>99300</v>
      </c>
      <c r="DH96" s="122">
        <f>SUM(DH86:DH95)</f>
        <v>0</v>
      </c>
      <c r="DI96" s="122">
        <f>SUM(DI86:DI95)</f>
        <v>99300</v>
      </c>
      <c r="DK96" s="122">
        <f>SUM(DK86:DK95)</f>
        <v>0</v>
      </c>
      <c r="DL96" s="122">
        <f>SUM(DL86:DL95)</f>
        <v>99300</v>
      </c>
      <c r="DN96" s="122">
        <f>SUM(DN86:DN95)</f>
        <v>0</v>
      </c>
      <c r="DO96" s="122">
        <f>SUM(DO86:DO95)</f>
        <v>99300</v>
      </c>
      <c r="DQ96" s="122">
        <f>SUM(DQ86:DQ95)</f>
        <v>0</v>
      </c>
      <c r="DR96" s="122">
        <f>SUM(DR86:DR95)</f>
        <v>99300</v>
      </c>
      <c r="DT96" s="122">
        <f>SUM(DT86:DT95)</f>
        <v>800</v>
      </c>
      <c r="DU96" s="122">
        <f>SUM(DU86:DU95)</f>
        <v>100100</v>
      </c>
      <c r="DW96" s="122">
        <f>SUM(DW86:DW95)</f>
        <v>0</v>
      </c>
      <c r="DX96" s="122">
        <f>SUM(DX86:DX95)</f>
        <v>100100</v>
      </c>
      <c r="DZ96" s="122">
        <f>SUM(DZ86:DZ95)</f>
        <v>0</v>
      </c>
      <c r="EA96" s="122">
        <f>SUM(EA86:EA95)</f>
        <v>100100</v>
      </c>
      <c r="EC96" s="122">
        <f>SUM(EC86:EC95)</f>
        <v>1750</v>
      </c>
      <c r="ED96" s="122">
        <f>SUM(ED86:ED95)</f>
        <v>101850</v>
      </c>
      <c r="EF96" s="122">
        <f>SUM(EF86:EF95)</f>
        <v>1500</v>
      </c>
      <c r="EG96" s="122">
        <f>SUM(EG86:EG95)</f>
        <v>103350</v>
      </c>
      <c r="EI96" s="122">
        <f>SUM(EI86:EI95)</f>
        <v>102157.12000000001</v>
      </c>
      <c r="EK96" s="122">
        <f>SUM(EK86:EK95)</f>
        <v>105840</v>
      </c>
      <c r="EL96" s="377">
        <f>EK96/EI96-1</f>
        <v>3.6051133782941225E-2</v>
      </c>
      <c r="EM96" s="122">
        <f>SUM(EM86:EM95)</f>
        <v>0</v>
      </c>
      <c r="EN96" s="122">
        <f>SUM(EN86:EN95)</f>
        <v>105840</v>
      </c>
      <c r="EP96" s="122">
        <f>SUM(EP86:EP95)</f>
        <v>0</v>
      </c>
      <c r="EQ96" s="122">
        <f>SUM(EQ86:EQ95)</f>
        <v>105840</v>
      </c>
      <c r="ES96" s="122">
        <f>SUM(ES86:ES95)</f>
        <v>0</v>
      </c>
      <c r="ET96" s="122">
        <f>SUM(ET86:ET95)</f>
        <v>105840</v>
      </c>
      <c r="EV96" s="122">
        <f>SUM(EV86:EV95)</f>
        <v>0</v>
      </c>
      <c r="EW96" s="122">
        <f>SUM(EW86:EW95)</f>
        <v>105840</v>
      </c>
      <c r="EY96" s="122">
        <f>SUM(EY86:EY95)</f>
        <v>0</v>
      </c>
      <c r="EZ96" s="122">
        <f>SUM(EZ86:EZ95)</f>
        <v>105840</v>
      </c>
      <c r="FB96" s="122">
        <f>SUM(FB86:FB95)</f>
        <v>0</v>
      </c>
      <c r="FC96" s="122">
        <f>SUM(FC86:FC95)</f>
        <v>105840</v>
      </c>
      <c r="FE96" s="122">
        <f>SUM(FE86:FE95)</f>
        <v>0</v>
      </c>
      <c r="FF96" s="122">
        <f>SUM(FF86:FF95)</f>
        <v>105840</v>
      </c>
      <c r="FH96" s="122">
        <f>SUM(FH86:FH95)</f>
        <v>0</v>
      </c>
      <c r="FI96" s="122">
        <f>SUM(FI86:FI95)</f>
        <v>105840</v>
      </c>
      <c r="FK96" s="122">
        <f>SUM(FK86:FK95)</f>
        <v>-12700</v>
      </c>
      <c r="FL96" s="122">
        <f>SUM(FL86:FL95)</f>
        <v>93140</v>
      </c>
      <c r="FN96" s="122">
        <f>SUM(FN86:FN95)</f>
        <v>100</v>
      </c>
      <c r="FO96" s="122">
        <f>SUM(FO86:FO95)</f>
        <v>93240</v>
      </c>
      <c r="FQ96" s="122">
        <v>-430</v>
      </c>
      <c r="FR96" s="122">
        <v>92810</v>
      </c>
      <c r="FT96" s="122">
        <f>SUM(FT86:FT95)</f>
        <v>92429.710000000021</v>
      </c>
      <c r="FV96" s="122">
        <f>SUM(FV86:FV95)</f>
        <v>102300</v>
      </c>
      <c r="FW96" s="235">
        <f t="shared" ref="FW96:FW97" si="276">FV96/FT96</f>
        <v>1.1067869844014437</v>
      </c>
      <c r="FY96" s="122">
        <f>SUM(FY86:FY95)</f>
        <v>0</v>
      </c>
      <c r="FZ96" s="122">
        <f>SUM(FZ86:FZ95)</f>
        <v>102300</v>
      </c>
      <c r="GB96" s="122">
        <f>SUM(GB86:GB95)</f>
        <v>0</v>
      </c>
      <c r="GC96" s="122">
        <f>SUM(GC86:GC95)</f>
        <v>102300</v>
      </c>
      <c r="GE96" s="122">
        <f>SUM(GE86:GE95)</f>
        <v>0</v>
      </c>
      <c r="GF96" s="122">
        <f>SUM(GF86:GF95)</f>
        <v>102300</v>
      </c>
      <c r="GH96" s="122">
        <f>SUM(GH86:GH95)</f>
        <v>0</v>
      </c>
      <c r="GI96" s="122">
        <f>SUM(GI86:GI95)</f>
        <v>102300</v>
      </c>
      <c r="GK96" s="122">
        <f>SUM(GK86:GK95)</f>
        <v>0</v>
      </c>
      <c r="GL96" s="122">
        <f>SUM(GL86:GL95)</f>
        <v>102300</v>
      </c>
      <c r="GN96" s="122">
        <f>SUM(GN86:GN95)</f>
        <v>0</v>
      </c>
      <c r="GO96" s="122">
        <f>SUM(GO86:GO95)</f>
        <v>102300</v>
      </c>
      <c r="GQ96" s="122">
        <f>SUM(GQ86:GQ95)</f>
        <v>2000</v>
      </c>
      <c r="GR96" s="122">
        <f>SUM(GR86:GR95)</f>
        <v>104300</v>
      </c>
      <c r="GT96" s="122">
        <f>SUM(GT86:GT95)</f>
        <v>0</v>
      </c>
      <c r="GU96" s="122">
        <f>SUM(GU86:GU95)</f>
        <v>104300</v>
      </c>
      <c r="GW96" s="122">
        <f>SUM(GW86:GW95)</f>
        <v>0</v>
      </c>
      <c r="GX96" s="122">
        <f>SUM(GX86:GX95)</f>
        <v>104300</v>
      </c>
      <c r="GZ96" s="122">
        <f>SUM(GZ86:GZ95)</f>
        <v>200</v>
      </c>
      <c r="HA96" s="430">
        <f>SUM(HA86:HA95)</f>
        <v>104500</v>
      </c>
      <c r="HC96" s="122">
        <f>SUM(HC86:HC95)</f>
        <v>62262.96</v>
      </c>
      <c r="HE96" s="122">
        <f>SUM(HE86:HE95)</f>
        <v>74100</v>
      </c>
      <c r="HF96" s="235">
        <f>HE96/HC96</f>
        <v>1.1901136727197037</v>
      </c>
    </row>
    <row r="97" spans="1:214" ht="15" customHeight="1" thickTop="1" thickBot="1">
      <c r="A97" s="64" t="s">
        <v>322</v>
      </c>
      <c r="B97" s="65" t="s">
        <v>357</v>
      </c>
      <c r="C97" s="284" t="s">
        <v>330</v>
      </c>
      <c r="D97" s="66">
        <f>D94</f>
        <v>0</v>
      </c>
      <c r="E97" s="67"/>
      <c r="F97" s="66">
        <f>F94</f>
        <v>0</v>
      </c>
      <c r="G97" s="67"/>
      <c r="H97" s="66"/>
      <c r="I97" s="66">
        <f>I94</f>
        <v>0</v>
      </c>
      <c r="J97" s="68"/>
      <c r="K97" s="69"/>
      <c r="L97" s="123">
        <f>L94</f>
        <v>2000</v>
      </c>
      <c r="M97" s="70" t="e">
        <f t="shared" si="268"/>
        <v>#DIV/0!</v>
      </c>
      <c r="N97" s="70" t="e">
        <f t="shared" si="269"/>
        <v>#DIV/0!</v>
      </c>
      <c r="Q97" s="123">
        <f>Q94</f>
        <v>2000</v>
      </c>
      <c r="R97" s="123">
        <f>R94</f>
        <v>484</v>
      </c>
      <c r="S97" s="123">
        <f>S94</f>
        <v>2000</v>
      </c>
      <c r="T97" s="123">
        <f>T94</f>
        <v>0</v>
      </c>
      <c r="U97" s="155">
        <f t="shared" si="205"/>
        <v>0</v>
      </c>
      <c r="Y97" s="123">
        <f>Y94</f>
        <v>2000</v>
      </c>
      <c r="AA97" s="123">
        <f>AA94</f>
        <v>1000</v>
      </c>
      <c r="AB97" s="123">
        <f>AB94</f>
        <v>-1000</v>
      </c>
      <c r="AE97" s="123">
        <f>AE94</f>
        <v>2200</v>
      </c>
      <c r="AF97" s="182"/>
      <c r="AH97" s="123">
        <f>AH94</f>
        <v>2134</v>
      </c>
      <c r="AI97" s="17">
        <f t="shared" si="206"/>
        <v>0.97</v>
      </c>
      <c r="AK97" s="123">
        <f>AK94</f>
        <v>6000</v>
      </c>
      <c r="AL97" s="193">
        <f t="shared" si="270"/>
        <v>3</v>
      </c>
      <c r="AM97" s="17">
        <f t="shared" si="271"/>
        <v>2.7272727272727271</v>
      </c>
      <c r="AN97" s="17">
        <f t="shared" si="272"/>
        <v>2.8116213683223994</v>
      </c>
      <c r="AS97" s="123">
        <f>AS94</f>
        <v>6000</v>
      </c>
      <c r="AU97" s="123">
        <f>AU94</f>
        <v>0</v>
      </c>
      <c r="AV97" s="123">
        <f>AV94</f>
        <v>6000</v>
      </c>
      <c r="AX97" s="123">
        <f>AX94</f>
        <v>0</v>
      </c>
      <c r="AY97" s="123">
        <f>AY94</f>
        <v>6000</v>
      </c>
      <c r="BA97" s="123">
        <f>BA94</f>
        <v>0</v>
      </c>
      <c r="BB97" s="123">
        <f>BB94</f>
        <v>6000</v>
      </c>
      <c r="BD97" s="123">
        <f>BD94</f>
        <v>0</v>
      </c>
      <c r="BE97" s="123">
        <f>BE94</f>
        <v>6000</v>
      </c>
      <c r="BG97" s="123">
        <f>BG94</f>
        <v>500</v>
      </c>
      <c r="BH97" s="123">
        <f>BH94</f>
        <v>6500</v>
      </c>
      <c r="BJ97" s="123">
        <f>BJ94</f>
        <v>6450</v>
      </c>
      <c r="BK97" s="236">
        <f t="shared" si="273"/>
        <v>0.99230769230769234</v>
      </c>
      <c r="BM97" s="123">
        <f>BM94</f>
        <v>1000</v>
      </c>
      <c r="BN97" s="236">
        <f t="shared" si="274"/>
        <v>0.15503875968992248</v>
      </c>
      <c r="BO97" s="236">
        <f t="shared" si="275"/>
        <v>0.15384615384615385</v>
      </c>
      <c r="BQ97" s="123">
        <f>BQ94</f>
        <v>0</v>
      </c>
      <c r="BR97" s="123">
        <f>BR94</f>
        <v>1000</v>
      </c>
      <c r="BT97" s="123">
        <f>BT94</f>
        <v>0</v>
      </c>
      <c r="BU97" s="123">
        <f>BU94</f>
        <v>1000</v>
      </c>
      <c r="BW97" s="123">
        <f>BW94</f>
        <v>0</v>
      </c>
      <c r="BX97" s="123">
        <f>BX94</f>
        <v>1000</v>
      </c>
      <c r="BZ97" s="123">
        <f>BZ94</f>
        <v>0</v>
      </c>
      <c r="CA97" s="123">
        <f>CA94</f>
        <v>1000</v>
      </c>
      <c r="CC97" s="123">
        <f>CC94</f>
        <v>0</v>
      </c>
      <c r="CD97" s="123">
        <f>CD94</f>
        <v>1000</v>
      </c>
      <c r="CF97" s="123">
        <f>CF94</f>
        <v>0</v>
      </c>
      <c r="CG97" s="123">
        <f>CG94</f>
        <v>1000</v>
      </c>
      <c r="CI97" s="123">
        <f>CI94</f>
        <v>0</v>
      </c>
      <c r="CJ97" s="123">
        <f>CJ94</f>
        <v>1000</v>
      </c>
      <c r="CL97" s="319">
        <f>CL94</f>
        <v>0</v>
      </c>
      <c r="CM97" s="123">
        <f>CM94</f>
        <v>1000</v>
      </c>
      <c r="CO97" s="123">
        <f>CO94</f>
        <v>0</v>
      </c>
      <c r="CP97" s="123">
        <f>CP94</f>
        <v>1000</v>
      </c>
      <c r="CR97" s="123">
        <f>CR94</f>
        <v>0</v>
      </c>
      <c r="CS97" s="123">
        <f>CS94</f>
        <v>1000</v>
      </c>
      <c r="CU97" s="123">
        <f>CU94</f>
        <v>-1000</v>
      </c>
      <c r="CV97" s="123">
        <f>CV94</f>
        <v>0</v>
      </c>
      <c r="CX97" s="123">
        <f>CX94</f>
        <v>0</v>
      </c>
      <c r="CY97" s="123">
        <f>CY94</f>
        <v>0</v>
      </c>
      <c r="DA97" s="123">
        <f>DA94</f>
        <v>0</v>
      </c>
      <c r="DC97" s="123">
        <f>DC94</f>
        <v>0</v>
      </c>
      <c r="DE97" s="123">
        <f>DE94</f>
        <v>0</v>
      </c>
      <c r="DF97" s="123">
        <f>DF94</f>
        <v>0</v>
      </c>
      <c r="DH97" s="123">
        <f>DH94</f>
        <v>0</v>
      </c>
      <c r="DI97" s="123">
        <f>DI94</f>
        <v>0</v>
      </c>
      <c r="DK97" s="123">
        <f>DK94</f>
        <v>0</v>
      </c>
      <c r="DL97" s="123">
        <f>DL94</f>
        <v>0</v>
      </c>
      <c r="DN97" s="123">
        <f>DN94</f>
        <v>0</v>
      </c>
      <c r="DO97" s="123">
        <f>DO94</f>
        <v>0</v>
      </c>
      <c r="DQ97" s="123">
        <f>DQ94</f>
        <v>0</v>
      </c>
      <c r="DR97" s="123">
        <f>DR94</f>
        <v>0</v>
      </c>
      <c r="DT97" s="123">
        <f>DT94</f>
        <v>0</v>
      </c>
      <c r="DU97" s="123">
        <f>DU94</f>
        <v>0</v>
      </c>
      <c r="DW97" s="123">
        <f>DW94</f>
        <v>0</v>
      </c>
      <c r="DX97" s="123">
        <f>DX94</f>
        <v>0</v>
      </c>
      <c r="DZ97" s="123">
        <f>DZ94</f>
        <v>0</v>
      </c>
      <c r="EA97" s="123">
        <f>EA94</f>
        <v>0</v>
      </c>
      <c r="EC97" s="123">
        <f>EC94</f>
        <v>0</v>
      </c>
      <c r="ED97" s="123">
        <f>ED94</f>
        <v>0</v>
      </c>
      <c r="EF97" s="123">
        <f>EF94</f>
        <v>0</v>
      </c>
      <c r="EG97" s="123">
        <f>EG94</f>
        <v>0</v>
      </c>
      <c r="EI97" s="123">
        <f>EI94</f>
        <v>0</v>
      </c>
      <c r="EK97" s="123">
        <f>EK94</f>
        <v>0</v>
      </c>
      <c r="EM97" s="123">
        <f>EM94</f>
        <v>0</v>
      </c>
      <c r="EN97" s="123">
        <f>EN94</f>
        <v>0</v>
      </c>
      <c r="EP97" s="123">
        <f>EP94</f>
        <v>0</v>
      </c>
      <c r="EQ97" s="123">
        <f>EQ94</f>
        <v>0</v>
      </c>
      <c r="ES97" s="123">
        <f>ES94</f>
        <v>0</v>
      </c>
      <c r="ET97" s="123">
        <f>ET94</f>
        <v>0</v>
      </c>
      <c r="EV97" s="123">
        <f>EV94</f>
        <v>0</v>
      </c>
      <c r="EW97" s="123">
        <f>EW94</f>
        <v>0</v>
      </c>
      <c r="EY97" s="123">
        <f>EY94</f>
        <v>0</v>
      </c>
      <c r="EZ97" s="123">
        <f>EZ94</f>
        <v>0</v>
      </c>
      <c r="FB97" s="123">
        <f>FB94</f>
        <v>0</v>
      </c>
      <c r="FC97" s="123">
        <f>FC94</f>
        <v>0</v>
      </c>
      <c r="FE97" s="123">
        <f>FE94</f>
        <v>0</v>
      </c>
      <c r="FF97" s="123">
        <f>FF94</f>
        <v>0</v>
      </c>
      <c r="FH97" s="123">
        <f>FH94</f>
        <v>0</v>
      </c>
      <c r="FI97" s="123">
        <f>FI94</f>
        <v>0</v>
      </c>
      <c r="FK97" s="123">
        <f>FK94</f>
        <v>0</v>
      </c>
      <c r="FL97" s="123">
        <f>FL94</f>
        <v>0</v>
      </c>
      <c r="FN97" s="123">
        <f>FN94</f>
        <v>0</v>
      </c>
      <c r="FO97" s="123">
        <f>FO94</f>
        <v>0</v>
      </c>
      <c r="FQ97" s="123">
        <v>0</v>
      </c>
      <c r="FR97" s="123">
        <v>0</v>
      </c>
      <c r="FT97" s="123">
        <f>FT94</f>
        <v>0</v>
      </c>
      <c r="FV97" s="123">
        <f>FV94</f>
        <v>0</v>
      </c>
      <c r="FW97" s="235" t="e">
        <f t="shared" si="276"/>
        <v>#DIV/0!</v>
      </c>
      <c r="FY97" s="123">
        <f>FY94</f>
        <v>0</v>
      </c>
      <c r="FZ97" s="123">
        <f>FZ94</f>
        <v>0</v>
      </c>
      <c r="GB97" s="123">
        <f>GB94</f>
        <v>0</v>
      </c>
      <c r="GC97" s="123">
        <f>GC94</f>
        <v>0</v>
      </c>
      <c r="GE97" s="123">
        <f>GE94</f>
        <v>0</v>
      </c>
      <c r="GF97" s="123">
        <f>GF94</f>
        <v>0</v>
      </c>
      <c r="GH97" s="123">
        <f>GH94</f>
        <v>0</v>
      </c>
      <c r="GI97" s="123">
        <f>GI94</f>
        <v>0</v>
      </c>
      <c r="GK97" s="123">
        <f>GK94</f>
        <v>0</v>
      </c>
      <c r="GL97" s="123">
        <f>GL94</f>
        <v>0</v>
      </c>
      <c r="GN97" s="123">
        <f>GN94</f>
        <v>0</v>
      </c>
      <c r="GO97" s="123">
        <f>GO94</f>
        <v>0</v>
      </c>
      <c r="GQ97" s="123">
        <f>GQ94</f>
        <v>0</v>
      </c>
      <c r="GR97" s="123">
        <f>GR94</f>
        <v>0</v>
      </c>
      <c r="GT97" s="123">
        <f>GT94</f>
        <v>0</v>
      </c>
      <c r="GU97" s="123">
        <f>GU94</f>
        <v>0</v>
      </c>
      <c r="GW97" s="123">
        <f>GW94</f>
        <v>0</v>
      </c>
      <c r="GX97" s="123">
        <f>GX94</f>
        <v>0</v>
      </c>
      <c r="GZ97" s="123">
        <f>GZ94</f>
        <v>0</v>
      </c>
      <c r="HA97" s="431">
        <f>HA94</f>
        <v>0</v>
      </c>
      <c r="HC97" s="123">
        <f>HC94</f>
        <v>0</v>
      </c>
      <c r="HE97" s="123">
        <f>HE94</f>
        <v>0</v>
      </c>
      <c r="HF97" s="235" t="e">
        <f>HE97/HC97</f>
        <v>#DIV/0!</v>
      </c>
    </row>
    <row r="98" spans="1:214" ht="14.25" customHeight="1" outlineLevel="1" thickTop="1">
      <c r="A98" s="13" t="s">
        <v>630</v>
      </c>
      <c r="B98" s="13" t="s">
        <v>142</v>
      </c>
      <c r="C98" s="37" t="s">
        <v>143</v>
      </c>
      <c r="D98" s="167"/>
      <c r="E98" s="168"/>
      <c r="F98" s="167"/>
      <c r="G98" s="168"/>
      <c r="H98" s="167"/>
      <c r="I98" s="167"/>
      <c r="J98" s="169"/>
      <c r="K98" s="170"/>
      <c r="L98" s="121"/>
      <c r="M98" s="350"/>
      <c r="N98" s="350"/>
      <c r="Q98" s="349"/>
      <c r="R98" s="349"/>
      <c r="S98" s="349"/>
      <c r="T98" s="349"/>
      <c r="U98" s="155"/>
      <c r="Y98" s="349"/>
      <c r="AA98" s="349"/>
      <c r="AB98" s="349"/>
      <c r="AE98" s="121"/>
      <c r="AF98" s="187"/>
      <c r="AH98" s="121"/>
      <c r="AI98" s="224"/>
      <c r="AK98" s="121"/>
      <c r="AL98" s="193"/>
      <c r="AM98" s="17"/>
      <c r="AN98" s="17"/>
      <c r="AS98" s="349"/>
      <c r="AU98" s="349"/>
      <c r="AV98" s="349"/>
      <c r="AX98" s="349"/>
      <c r="AY98" s="349"/>
      <c r="BA98" s="349"/>
      <c r="BB98" s="349"/>
      <c r="BD98" s="349"/>
      <c r="BE98" s="349"/>
      <c r="BG98" s="121"/>
      <c r="BH98" s="121"/>
      <c r="BJ98" s="121"/>
      <c r="BK98" s="291"/>
      <c r="BM98" s="121"/>
      <c r="BN98" s="291"/>
      <c r="BO98" s="291"/>
      <c r="BQ98" s="349"/>
      <c r="BR98" s="349"/>
      <c r="BT98" s="349"/>
      <c r="BU98" s="349"/>
      <c r="BW98" s="349"/>
      <c r="BX98" s="349"/>
      <c r="BZ98" s="349"/>
      <c r="CA98" s="349"/>
      <c r="CC98" s="349"/>
      <c r="CD98" s="349"/>
      <c r="CF98" s="349"/>
      <c r="CG98" s="349"/>
      <c r="CI98" s="349"/>
      <c r="CJ98" s="349"/>
      <c r="CL98" s="121"/>
      <c r="CM98" s="349"/>
      <c r="CO98" s="349"/>
      <c r="CP98" s="349"/>
      <c r="CR98" s="349"/>
      <c r="CS98" s="349"/>
      <c r="CU98" s="349"/>
      <c r="CV98" s="349"/>
      <c r="CX98" s="121"/>
      <c r="CY98" s="121"/>
      <c r="DA98" s="121"/>
      <c r="DC98" s="121"/>
      <c r="DE98" s="121"/>
      <c r="DF98" s="121"/>
      <c r="DH98" s="121"/>
      <c r="DI98" s="121"/>
      <c r="DK98" s="121"/>
      <c r="DL98" s="121"/>
      <c r="DN98" s="121"/>
      <c r="DO98" s="121"/>
      <c r="DQ98" s="121"/>
      <c r="DR98" s="121"/>
      <c r="DT98" s="121"/>
      <c r="DU98" s="121"/>
      <c r="DW98" s="121"/>
      <c r="DX98" s="121"/>
      <c r="DZ98" s="121"/>
      <c r="EA98" s="121"/>
      <c r="EC98" s="299">
        <v>4000</v>
      </c>
      <c r="ED98" s="15">
        <f t="shared" ref="ED98" si="277">EA98+EC98</f>
        <v>4000</v>
      </c>
      <c r="EF98" s="299">
        <v>100</v>
      </c>
      <c r="EG98" s="15">
        <f t="shared" ref="EG98" si="278">ED98+EF98</f>
        <v>4100</v>
      </c>
      <c r="EI98" s="36">
        <v>4012</v>
      </c>
      <c r="EK98" s="36">
        <v>0</v>
      </c>
      <c r="EM98" s="121"/>
      <c r="EN98" s="121"/>
      <c r="EP98" s="121"/>
      <c r="EQ98" s="121"/>
      <c r="ES98" s="121"/>
      <c r="ET98" s="121"/>
      <c r="EV98" s="121"/>
      <c r="EW98" s="121"/>
      <c r="EY98" s="121"/>
      <c r="EZ98" s="121"/>
      <c r="FB98" s="121"/>
      <c r="FC98" s="121"/>
      <c r="FE98" s="121"/>
      <c r="FF98" s="121"/>
      <c r="FH98" s="121"/>
      <c r="FI98" s="121"/>
      <c r="FK98" s="121"/>
      <c r="FL98" s="121"/>
      <c r="FN98" s="121"/>
      <c r="FO98" s="121"/>
      <c r="FQ98" s="121"/>
      <c r="FR98" s="121"/>
      <c r="FT98" s="36"/>
      <c r="FV98" s="36">
        <v>0</v>
      </c>
      <c r="FY98" s="121"/>
      <c r="FZ98" s="121"/>
      <c r="GB98" s="121"/>
      <c r="GC98" s="121"/>
      <c r="GE98" s="121"/>
      <c r="GF98" s="121"/>
      <c r="GH98" s="121"/>
      <c r="GI98" s="121"/>
      <c r="GK98" s="121"/>
      <c r="GL98" s="121"/>
      <c r="GN98" s="121"/>
      <c r="GO98" s="121"/>
      <c r="GQ98" s="121"/>
      <c r="GR98" s="121"/>
      <c r="GT98" s="121"/>
      <c r="GU98" s="121"/>
      <c r="GW98" s="121"/>
      <c r="GX98" s="121"/>
      <c r="GZ98" s="121"/>
      <c r="HA98" s="435"/>
      <c r="HE98" s="36">
        <v>0</v>
      </c>
    </row>
    <row r="99" spans="1:214" ht="14.25" customHeight="1" outlineLevel="1">
      <c r="A99" s="13" t="s">
        <v>630</v>
      </c>
      <c r="B99" s="371" t="s">
        <v>117</v>
      </c>
      <c r="C99" s="4" t="s">
        <v>118</v>
      </c>
      <c r="D99" s="167"/>
      <c r="E99" s="168"/>
      <c r="F99" s="167"/>
      <c r="G99" s="168"/>
      <c r="H99" s="167"/>
      <c r="I99" s="167"/>
      <c r="J99" s="169"/>
      <c r="K99" s="170"/>
      <c r="L99" s="121"/>
      <c r="M99" s="350"/>
      <c r="N99" s="350"/>
      <c r="Q99" s="349"/>
      <c r="R99" s="349"/>
      <c r="S99" s="349"/>
      <c r="T99" s="349"/>
      <c r="U99" s="155"/>
      <c r="Y99" s="349"/>
      <c r="AA99" s="349"/>
      <c r="AB99" s="349"/>
      <c r="AE99" s="121"/>
      <c r="AF99" s="187"/>
      <c r="AH99" s="121"/>
      <c r="AI99" s="224"/>
      <c r="AK99" s="121"/>
      <c r="AL99" s="193"/>
      <c r="AM99" s="17"/>
      <c r="AN99" s="17"/>
      <c r="AS99" s="349"/>
      <c r="AU99" s="349"/>
      <c r="AV99" s="349"/>
      <c r="AX99" s="349"/>
      <c r="AY99" s="349"/>
      <c r="BA99" s="349"/>
      <c r="BB99" s="349"/>
      <c r="BD99" s="349"/>
      <c r="BE99" s="349"/>
      <c r="BG99" s="121"/>
      <c r="BH99" s="121"/>
      <c r="BJ99" s="121"/>
      <c r="BK99" s="291"/>
      <c r="BM99" s="121"/>
      <c r="BN99" s="291"/>
      <c r="BO99" s="291"/>
      <c r="BQ99" s="349"/>
      <c r="BR99" s="349"/>
      <c r="BT99" s="349"/>
      <c r="BU99" s="349"/>
      <c r="BW99" s="349"/>
      <c r="BX99" s="349"/>
      <c r="BZ99" s="349"/>
      <c r="CA99" s="349"/>
      <c r="CC99" s="349"/>
      <c r="CD99" s="349"/>
      <c r="CF99" s="349"/>
      <c r="CG99" s="349"/>
      <c r="CI99" s="349"/>
      <c r="CJ99" s="349"/>
      <c r="CL99" s="121"/>
      <c r="CM99" s="349"/>
      <c r="CO99" s="349"/>
      <c r="CP99" s="349"/>
      <c r="CR99" s="349"/>
      <c r="CS99" s="349"/>
      <c r="CU99" s="349"/>
      <c r="CV99" s="349"/>
      <c r="CX99" s="121"/>
      <c r="CY99" s="121"/>
      <c r="DA99" s="121"/>
      <c r="DC99" s="121"/>
      <c r="DE99" s="349"/>
      <c r="DF99" s="349"/>
      <c r="DH99" s="349"/>
      <c r="DI99" s="349"/>
      <c r="DK99" s="349"/>
      <c r="DL99" s="349"/>
      <c r="DN99" s="349"/>
      <c r="DO99" s="349"/>
      <c r="DQ99" s="349"/>
      <c r="DR99" s="349"/>
      <c r="DT99" s="121"/>
      <c r="DU99" s="121"/>
      <c r="DW99" s="121"/>
      <c r="DX99" s="121"/>
      <c r="DZ99" s="299">
        <v>26000</v>
      </c>
      <c r="EA99" s="15">
        <f t="shared" ref="EA99" si="279">DX99+DZ99</f>
        <v>26000</v>
      </c>
      <c r="EC99" s="299">
        <v>1110</v>
      </c>
      <c r="ED99" s="15">
        <f t="shared" ref="ED99" si="280">EA99+EC99</f>
        <v>27110</v>
      </c>
      <c r="EF99" s="36"/>
      <c r="EG99" s="15">
        <f t="shared" ref="EG99" si="281">ED99+EF99</f>
        <v>27110</v>
      </c>
      <c r="EI99" s="36">
        <v>27106.58</v>
      </c>
      <c r="EK99" s="36">
        <v>0</v>
      </c>
      <c r="EM99" s="36"/>
      <c r="EN99" s="15">
        <f t="shared" ref="EN99" si="282">EK99+EM99</f>
        <v>0</v>
      </c>
      <c r="EP99" s="36"/>
      <c r="EQ99" s="15">
        <f t="shared" ref="EQ99" si="283">EN99+EP99</f>
        <v>0</v>
      </c>
      <c r="ES99" s="36"/>
      <c r="ET99" s="15">
        <f t="shared" ref="ET99" si="284">EQ99+ES99</f>
        <v>0</v>
      </c>
      <c r="EV99" s="36"/>
      <c r="EW99" s="15">
        <f t="shared" ref="EW99" si="285">ET99+EV99</f>
        <v>0</v>
      </c>
      <c r="EY99" s="36"/>
      <c r="EZ99" s="15">
        <f t="shared" ref="EZ99" si="286">EW99+EY99</f>
        <v>0</v>
      </c>
      <c r="FB99" s="36"/>
      <c r="FC99" s="15">
        <f t="shared" ref="FC99" si="287">EZ99+FB99</f>
        <v>0</v>
      </c>
      <c r="FE99" s="36"/>
      <c r="FF99" s="15">
        <f t="shared" ref="FF99" si="288">FC99+FE99</f>
        <v>0</v>
      </c>
      <c r="FH99" s="36"/>
      <c r="FI99" s="15">
        <f t="shared" ref="FI99" si="289">FF99+FH99</f>
        <v>0</v>
      </c>
      <c r="FK99" s="36"/>
      <c r="FL99" s="15">
        <f t="shared" ref="FL99" si="290">FI99+FK99</f>
        <v>0</v>
      </c>
      <c r="FN99" s="36"/>
      <c r="FO99" s="15">
        <f t="shared" ref="FO99" si="291">FL99+FN99</f>
        <v>0</v>
      </c>
      <c r="FQ99" s="36"/>
      <c r="FR99" s="15">
        <v>0</v>
      </c>
      <c r="FT99" s="36"/>
      <c r="FV99" s="36">
        <v>0</v>
      </c>
      <c r="FY99" s="36"/>
      <c r="FZ99" s="15">
        <f>FV99+FY99</f>
        <v>0</v>
      </c>
      <c r="GB99" s="36"/>
      <c r="GC99" s="15">
        <f>FZ99+GB99</f>
        <v>0</v>
      </c>
      <c r="GE99" s="36"/>
      <c r="GF99" s="15">
        <f>GC99+GE99</f>
        <v>0</v>
      </c>
      <c r="GH99" s="36"/>
      <c r="GI99" s="15">
        <f>GF99+GH99</f>
        <v>0</v>
      </c>
      <c r="GK99" s="36"/>
      <c r="GL99" s="15">
        <f>GI99+GK99</f>
        <v>0</v>
      </c>
      <c r="GN99" s="36"/>
      <c r="GO99" s="15">
        <f>GL99+GN99</f>
        <v>0</v>
      </c>
      <c r="GQ99" s="36"/>
      <c r="GR99" s="15">
        <f>GO99+GQ99</f>
        <v>0</v>
      </c>
      <c r="GT99" s="36"/>
      <c r="GU99" s="15">
        <f>GR99+GT99</f>
        <v>0</v>
      </c>
      <c r="GW99" s="36"/>
      <c r="GX99" s="15">
        <f>GU99+GW99</f>
        <v>0</v>
      </c>
      <c r="GZ99" s="36"/>
      <c r="HA99" s="189">
        <f>GX99+GZ99</f>
        <v>0</v>
      </c>
      <c r="HE99" s="36">
        <v>0</v>
      </c>
    </row>
    <row r="100" spans="1:214" ht="14.25" customHeight="1" thickBot="1">
      <c r="A100" s="54" t="s">
        <v>630</v>
      </c>
      <c r="B100" s="372" t="s">
        <v>316</v>
      </c>
      <c r="C100" s="482" t="s">
        <v>631</v>
      </c>
      <c r="D100" s="483"/>
      <c r="E100" s="483"/>
      <c r="F100" s="483"/>
      <c r="G100" s="483"/>
      <c r="H100" s="483"/>
      <c r="I100" s="483"/>
      <c r="J100" s="483"/>
      <c r="K100" s="483"/>
      <c r="L100" s="482"/>
      <c r="M100" s="483"/>
      <c r="N100" s="483"/>
      <c r="O100" s="483"/>
      <c r="P100" s="483"/>
      <c r="Q100" s="483"/>
      <c r="R100" s="483"/>
      <c r="S100" s="483"/>
      <c r="T100" s="483"/>
      <c r="U100" s="483"/>
      <c r="V100" s="483"/>
      <c r="W100" s="483"/>
      <c r="Y100" s="349"/>
      <c r="AA100" s="349"/>
      <c r="AB100" s="349"/>
      <c r="AE100" s="121"/>
      <c r="AF100" s="187"/>
      <c r="AH100" s="121"/>
      <c r="AI100" s="224"/>
      <c r="AK100" s="121"/>
      <c r="AL100" s="193"/>
      <c r="AM100" s="17"/>
      <c r="AN100" s="17"/>
      <c r="AS100" s="349"/>
      <c r="AU100" s="349"/>
      <c r="AV100" s="349"/>
      <c r="AX100" s="349"/>
      <c r="AY100" s="349"/>
      <c r="BA100" s="349"/>
      <c r="BB100" s="349"/>
      <c r="BD100" s="349"/>
      <c r="BE100" s="349"/>
      <c r="BG100" s="121"/>
      <c r="BH100" s="121"/>
      <c r="BJ100" s="121"/>
      <c r="BK100" s="291"/>
      <c r="BM100" s="121"/>
      <c r="BN100" s="291"/>
      <c r="BO100" s="291"/>
      <c r="BQ100" s="349"/>
      <c r="BR100" s="349"/>
      <c r="BT100" s="349"/>
      <c r="BU100" s="349"/>
      <c r="BW100" s="349"/>
      <c r="BX100" s="349"/>
      <c r="BZ100" s="349"/>
      <c r="CA100" s="349"/>
      <c r="CC100" s="349"/>
      <c r="CD100" s="349"/>
      <c r="CF100" s="349"/>
      <c r="CG100" s="349"/>
      <c r="CI100" s="349"/>
      <c r="CJ100" s="349"/>
      <c r="CL100" s="121"/>
      <c r="CM100" s="349"/>
      <c r="CO100" s="349"/>
      <c r="CP100" s="349"/>
      <c r="CR100" s="349"/>
      <c r="CS100" s="349"/>
      <c r="CU100" s="349"/>
      <c r="CV100" s="349"/>
      <c r="CX100" s="121"/>
      <c r="CY100" s="121"/>
      <c r="DA100" s="121"/>
      <c r="DC100" s="121"/>
      <c r="DE100" s="349"/>
      <c r="DF100" s="349"/>
      <c r="DH100" s="349"/>
      <c r="DI100" s="349"/>
      <c r="DK100" s="349"/>
      <c r="DL100" s="349"/>
      <c r="DN100" s="349"/>
      <c r="DO100" s="349"/>
      <c r="DQ100" s="349"/>
      <c r="DR100" s="349"/>
      <c r="DT100" s="121"/>
      <c r="DU100" s="121"/>
      <c r="DW100" s="121"/>
      <c r="DX100" s="121"/>
      <c r="DZ100" s="122">
        <f>SUM(DZ99)</f>
        <v>26000</v>
      </c>
      <c r="EA100" s="122">
        <f>SUM(EA99)</f>
        <v>26000</v>
      </c>
      <c r="EC100" s="122">
        <f>SUM(EC98:EC99)</f>
        <v>5110</v>
      </c>
      <c r="ED100" s="122">
        <f>SUM(ED98:ED99)</f>
        <v>31110</v>
      </c>
      <c r="EF100" s="122">
        <f>SUM(EF98:EF99)</f>
        <v>100</v>
      </c>
      <c r="EG100" s="122">
        <f>SUM(EG98:EG99)</f>
        <v>31210</v>
      </c>
      <c r="EI100" s="122">
        <f>SUM(EI98:EI99)</f>
        <v>31118.58</v>
      </c>
      <c r="EK100" s="122">
        <f>SUM(EK98:EK99)</f>
        <v>0</v>
      </c>
      <c r="EM100" s="122">
        <f>SUM(EM99)</f>
        <v>0</v>
      </c>
      <c r="EN100" s="122">
        <f>SUM(EN99)</f>
        <v>0</v>
      </c>
      <c r="EP100" s="122">
        <f>SUM(EP99)</f>
        <v>0</v>
      </c>
      <c r="EQ100" s="122">
        <f>SUM(EQ99)</f>
        <v>0</v>
      </c>
      <c r="ES100" s="122">
        <f>SUM(ES99)</f>
        <v>0</v>
      </c>
      <c r="ET100" s="122">
        <f>SUM(ET99)</f>
        <v>0</v>
      </c>
      <c r="EV100" s="122">
        <f>SUM(EV99)</f>
        <v>0</v>
      </c>
      <c r="EW100" s="122">
        <f>SUM(EW99)</f>
        <v>0</v>
      </c>
      <c r="EY100" s="122">
        <f>SUM(EY99)</f>
        <v>0</v>
      </c>
      <c r="EZ100" s="122">
        <f>SUM(EZ99)</f>
        <v>0</v>
      </c>
      <c r="FB100" s="122">
        <f>SUM(FB99)</f>
        <v>0</v>
      </c>
      <c r="FC100" s="122">
        <f>SUM(FC99)</f>
        <v>0</v>
      </c>
      <c r="FE100" s="122">
        <f>SUM(FE99)</f>
        <v>0</v>
      </c>
      <c r="FF100" s="122">
        <f>SUM(FF99)</f>
        <v>0</v>
      </c>
      <c r="FH100" s="122">
        <f>SUM(FH99)</f>
        <v>0</v>
      </c>
      <c r="FI100" s="122">
        <f>SUM(FI99)</f>
        <v>0</v>
      </c>
      <c r="FK100" s="122">
        <f>SUM(FK99)</f>
        <v>0</v>
      </c>
      <c r="FL100" s="122">
        <f>SUM(FL99)</f>
        <v>0</v>
      </c>
      <c r="FN100" s="122">
        <f>SUM(FN99)</f>
        <v>0</v>
      </c>
      <c r="FO100" s="122">
        <f>SUM(FO99)</f>
        <v>0</v>
      </c>
      <c r="FQ100" s="122">
        <v>0</v>
      </c>
      <c r="FR100" s="122">
        <v>0</v>
      </c>
      <c r="FT100" s="122">
        <f>SUM(FT98:FT99)</f>
        <v>0</v>
      </c>
      <c r="FV100" s="122">
        <f>SUM(FV98:FV99)</f>
        <v>0</v>
      </c>
      <c r="FW100" s="235" t="e">
        <f t="shared" ref="FW100" si="292">FV100/FT100</f>
        <v>#DIV/0!</v>
      </c>
      <c r="FY100" s="122">
        <f>SUM(FY98:FY99)</f>
        <v>0</v>
      </c>
      <c r="FZ100" s="122">
        <f>SUM(FZ98:FZ99)</f>
        <v>0</v>
      </c>
      <c r="GB100" s="122">
        <f>SUM(GB98:GB99)</f>
        <v>0</v>
      </c>
      <c r="GC100" s="122">
        <f>SUM(GC98:GC99)</f>
        <v>0</v>
      </c>
      <c r="GE100" s="122">
        <f>SUM(GE98:GE99)</f>
        <v>0</v>
      </c>
      <c r="GF100" s="122">
        <f>SUM(GF98:GF99)</f>
        <v>0</v>
      </c>
      <c r="GH100" s="122">
        <f>SUM(GH98:GH99)</f>
        <v>0</v>
      </c>
      <c r="GI100" s="122">
        <f>SUM(GI98:GI99)</f>
        <v>0</v>
      </c>
      <c r="GK100" s="122">
        <f>SUM(GK98:GK99)</f>
        <v>0</v>
      </c>
      <c r="GL100" s="122">
        <f>SUM(GL98:GL99)</f>
        <v>0</v>
      </c>
      <c r="GN100" s="122">
        <f>SUM(GN98:GN99)</f>
        <v>0</v>
      </c>
      <c r="GO100" s="122">
        <f>SUM(GO98:GO99)</f>
        <v>0</v>
      </c>
      <c r="GQ100" s="122">
        <f>SUM(GQ98:GQ99)</f>
        <v>0</v>
      </c>
      <c r="GR100" s="122">
        <f>SUM(GR98:GR99)</f>
        <v>0</v>
      </c>
      <c r="GT100" s="122">
        <f>SUM(GT98:GT99)</f>
        <v>0</v>
      </c>
      <c r="GU100" s="122">
        <f>SUM(GU98:GU99)</f>
        <v>0</v>
      </c>
      <c r="GW100" s="122">
        <f>SUM(GW98:GW99)</f>
        <v>0</v>
      </c>
      <c r="GX100" s="122">
        <f>SUM(GX98:GX99)</f>
        <v>0</v>
      </c>
      <c r="GZ100" s="122">
        <f>SUM(GZ98:GZ99)</f>
        <v>0</v>
      </c>
      <c r="HA100" s="430">
        <f>SUM(HA98:HA99)</f>
        <v>0</v>
      </c>
      <c r="HC100" s="122">
        <f>SUM(HC98:HC99)</f>
        <v>0</v>
      </c>
      <c r="HE100" s="122">
        <f>SUM(HE98:HE99)</f>
        <v>0</v>
      </c>
      <c r="HF100" s="235" t="e">
        <f>HE100/HC100</f>
        <v>#DIV/0!</v>
      </c>
    </row>
    <row r="101" spans="1:214" ht="15.75" outlineLevel="1" thickTop="1">
      <c r="A101" s="12">
        <v>3330</v>
      </c>
      <c r="B101" s="1" t="s">
        <v>150</v>
      </c>
      <c r="C101" s="4" t="s">
        <v>151</v>
      </c>
      <c r="I101" s="36"/>
      <c r="J101" s="14"/>
      <c r="K101" t="s">
        <v>332</v>
      </c>
      <c r="L101" s="118">
        <v>1000</v>
      </c>
      <c r="M101" s="17" t="e">
        <f t="shared" si="268"/>
        <v>#DIV/0!</v>
      </c>
      <c r="N101" s="17" t="e">
        <f t="shared" si="269"/>
        <v>#DIV/0!</v>
      </c>
      <c r="Q101" s="118">
        <v>1000</v>
      </c>
      <c r="R101" s="15">
        <v>0</v>
      </c>
      <c r="S101" s="118">
        <v>0</v>
      </c>
      <c r="T101" s="15">
        <f>S101-Q101</f>
        <v>-1000</v>
      </c>
      <c r="U101" s="16">
        <f t="shared" si="205"/>
        <v>-1</v>
      </c>
      <c r="Y101" s="118">
        <v>0</v>
      </c>
      <c r="AF101" s="182"/>
      <c r="AH101" s="15"/>
      <c r="AX101" s="15"/>
      <c r="BD101" s="15"/>
      <c r="BG101" s="15"/>
      <c r="DE101" s="15"/>
      <c r="DH101" s="15"/>
      <c r="DK101" s="15"/>
      <c r="DN101" s="15"/>
      <c r="DQ101" s="15"/>
      <c r="DT101" s="15"/>
      <c r="DW101" s="15"/>
      <c r="DZ101" s="15"/>
      <c r="EC101" s="15"/>
      <c r="EF101" s="15"/>
      <c r="EK101" s="15"/>
      <c r="EM101" s="15"/>
      <c r="EP101" s="15"/>
      <c r="ES101" s="15"/>
      <c r="GB101" s="15"/>
      <c r="GE101" s="15"/>
      <c r="GH101" s="15"/>
      <c r="GK101" s="15"/>
      <c r="GN101" s="15"/>
      <c r="GQ101" s="15"/>
      <c r="GT101" s="15"/>
      <c r="GW101" s="15"/>
      <c r="GZ101" s="15"/>
    </row>
    <row r="102" spans="1:214" outlineLevel="1">
      <c r="A102" s="12">
        <v>3330</v>
      </c>
      <c r="B102" s="1" t="s">
        <v>163</v>
      </c>
      <c r="C102" s="4" t="s">
        <v>164</v>
      </c>
      <c r="I102" s="36"/>
      <c r="J102" s="14"/>
      <c r="K102" t="s">
        <v>332</v>
      </c>
      <c r="L102" s="118">
        <v>10000</v>
      </c>
      <c r="M102" s="17" t="e">
        <f t="shared" si="268"/>
        <v>#DIV/0!</v>
      </c>
      <c r="N102" s="17" t="e">
        <f t="shared" si="269"/>
        <v>#DIV/0!</v>
      </c>
      <c r="Q102" s="118">
        <v>10000</v>
      </c>
      <c r="R102" s="15">
        <v>10000</v>
      </c>
      <c r="S102" s="118">
        <v>10000</v>
      </c>
      <c r="T102" s="15">
        <f>S102-Q102</f>
        <v>0</v>
      </c>
      <c r="U102" s="16">
        <f t="shared" si="205"/>
        <v>0</v>
      </c>
      <c r="Y102" s="118">
        <v>10000</v>
      </c>
      <c r="AA102" s="118">
        <v>10000</v>
      </c>
      <c r="AB102" s="185">
        <f>AA102-Y102</f>
        <v>0</v>
      </c>
      <c r="AC102" s="187">
        <f t="shared" ref="AC102" si="293">AA102-Y102</f>
        <v>0</v>
      </c>
      <c r="AD102" s="187"/>
      <c r="AE102" s="118">
        <v>10000</v>
      </c>
      <c r="AF102" s="182"/>
      <c r="AH102" s="15">
        <v>10000</v>
      </c>
      <c r="AI102" s="17">
        <f t="shared" si="206"/>
        <v>1</v>
      </c>
      <c r="AK102" s="118">
        <v>10000</v>
      </c>
      <c r="AS102" s="15">
        <f t="shared" ref="AS102" si="294">AR102+AK102</f>
        <v>10000</v>
      </c>
      <c r="AV102" s="15">
        <f t="shared" ref="AV102" si="295">AS102+AU102</f>
        <v>10000</v>
      </c>
      <c r="AX102" s="15"/>
      <c r="AY102" s="15">
        <f t="shared" ref="AY102" si="296">AV102+AX102</f>
        <v>10000</v>
      </c>
      <c r="BB102" s="15">
        <f t="shared" ref="BB102" si="297">AY102+BA102</f>
        <v>10000</v>
      </c>
      <c r="BD102" s="15"/>
      <c r="BE102" s="15">
        <f t="shared" ref="BE102" si="298">BB102+BD102</f>
        <v>10000</v>
      </c>
      <c r="BG102" s="15"/>
      <c r="BH102" s="15">
        <f t="shared" ref="BH102" si="299">BE102+BG102</f>
        <v>10000</v>
      </c>
      <c r="BJ102" s="15">
        <v>10000</v>
      </c>
      <c r="BK102" s="235">
        <f t="shared" ref="BK102:BK103" si="300">BJ102/BH102</f>
        <v>1</v>
      </c>
      <c r="BM102" s="15">
        <v>10000</v>
      </c>
      <c r="BN102" s="235">
        <f t="shared" ref="BN102:BN103" si="301">BM102/BJ102</f>
        <v>1</v>
      </c>
      <c r="BO102" s="235">
        <f t="shared" ref="BO102:BO103" si="302">BM102/BH102</f>
        <v>1</v>
      </c>
      <c r="BQ102" s="15"/>
      <c r="BR102" s="15">
        <f>BM102+BQ102</f>
        <v>10000</v>
      </c>
      <c r="BT102" s="15"/>
      <c r="BU102" s="15">
        <f>BR102+BT102</f>
        <v>10000</v>
      </c>
      <c r="BW102" s="15"/>
      <c r="BX102" s="15">
        <f>BU102+BW102</f>
        <v>10000</v>
      </c>
      <c r="BZ102" s="15"/>
      <c r="CA102" s="15">
        <f>BX102+BZ102</f>
        <v>10000</v>
      </c>
      <c r="CC102" s="15"/>
      <c r="CD102" s="15">
        <f>CA102+CC102</f>
        <v>10000</v>
      </c>
      <c r="CF102" s="15"/>
      <c r="CG102" s="15">
        <f>CD102+CF102</f>
        <v>10000</v>
      </c>
      <c r="CI102" s="15"/>
      <c r="CJ102" s="15">
        <f>CG102+CI102</f>
        <v>10000</v>
      </c>
      <c r="CM102" s="15">
        <f>CJ102+CL102</f>
        <v>10000</v>
      </c>
      <c r="CP102" s="15">
        <f>CM102+CO102</f>
        <v>10000</v>
      </c>
      <c r="CS102" s="15">
        <f>CP102+CR102</f>
        <v>10000</v>
      </c>
      <c r="CV102" s="15">
        <f>CS102+CU102</f>
        <v>10000</v>
      </c>
      <c r="CY102" s="15">
        <f>CV102+CX102</f>
        <v>10000</v>
      </c>
      <c r="DA102" s="15">
        <v>10000</v>
      </c>
      <c r="DC102" s="15">
        <v>10000</v>
      </c>
      <c r="DE102" s="15"/>
      <c r="DF102" s="15">
        <f t="shared" ref="DF102" si="303">DC102+DE102</f>
        <v>10000</v>
      </c>
      <c r="DH102" s="15"/>
      <c r="DI102" s="15">
        <f t="shared" ref="DI102" si="304">DF102+DH102</f>
        <v>10000</v>
      </c>
      <c r="DK102" s="15"/>
      <c r="DL102" s="15">
        <f t="shared" ref="DL102" si="305">DI102+DK102</f>
        <v>10000</v>
      </c>
      <c r="DN102" s="15"/>
      <c r="DO102" s="15">
        <f t="shared" ref="DO102" si="306">DL102+DN102</f>
        <v>10000</v>
      </c>
      <c r="DQ102" s="15"/>
      <c r="DR102" s="15">
        <f t="shared" ref="DR102" si="307">DO102+DQ102</f>
        <v>10000</v>
      </c>
      <c r="DT102" s="15"/>
      <c r="DU102" s="15">
        <f t="shared" ref="DU102" si="308">DR102+DT102</f>
        <v>10000</v>
      </c>
      <c r="DW102" s="15"/>
      <c r="DX102" s="15">
        <f t="shared" ref="DX102" si="309">DU102+DW102</f>
        <v>10000</v>
      </c>
      <c r="DZ102" s="15"/>
      <c r="EA102" s="15">
        <f t="shared" ref="EA102" si="310">DX102+DZ102</f>
        <v>10000</v>
      </c>
      <c r="EC102" s="15"/>
      <c r="ED102" s="15">
        <f t="shared" ref="ED102" si="311">EA102+EC102</f>
        <v>10000</v>
      </c>
      <c r="EF102" s="15"/>
      <c r="EG102" s="15">
        <f t="shared" ref="EG102" si="312">ED102+EF102</f>
        <v>10000</v>
      </c>
      <c r="EI102" s="15">
        <v>10000</v>
      </c>
      <c r="EK102" s="15">
        <v>10000</v>
      </c>
      <c r="EM102" s="15"/>
      <c r="EN102" s="15">
        <f t="shared" ref="EN102" si="313">EK102+EM102</f>
        <v>10000</v>
      </c>
      <c r="EP102" s="15"/>
      <c r="EQ102" s="15">
        <f t="shared" ref="EQ102" si="314">EN102+EP102</f>
        <v>10000</v>
      </c>
      <c r="ES102" s="15"/>
      <c r="ET102" s="15">
        <f t="shared" ref="ET102" si="315">EQ102+ES102</f>
        <v>10000</v>
      </c>
      <c r="EW102" s="15">
        <f t="shared" ref="EW102" si="316">ET102+EV102</f>
        <v>10000</v>
      </c>
      <c r="EZ102" s="15">
        <f t="shared" ref="EZ102" si="317">EW102+EY102</f>
        <v>10000</v>
      </c>
      <c r="FC102" s="15">
        <f t="shared" ref="FC102" si="318">EZ102+FB102</f>
        <v>10000</v>
      </c>
      <c r="FF102" s="15">
        <f t="shared" ref="FF102" si="319">FC102+FE102</f>
        <v>10000</v>
      </c>
      <c r="FI102" s="15">
        <f t="shared" ref="FI102" si="320">FF102+FH102</f>
        <v>10000</v>
      </c>
      <c r="FK102" s="227">
        <f>8228-10000</f>
        <v>-1772</v>
      </c>
      <c r="FL102" s="15">
        <f t="shared" ref="FL102" si="321">FI102+FK102</f>
        <v>8228</v>
      </c>
      <c r="FO102" s="15">
        <f t="shared" ref="FO102" si="322">FL102+FN102</f>
        <v>8228</v>
      </c>
      <c r="FR102" s="15">
        <v>8228</v>
      </c>
      <c r="FT102" s="15">
        <v>8228</v>
      </c>
      <c r="FV102" s="15">
        <v>10000</v>
      </c>
      <c r="FW102" s="235">
        <f t="shared" ref="FW102:FW103" si="323">FV102/FT102</f>
        <v>1.2153621779290229</v>
      </c>
      <c r="FZ102" s="15">
        <f>FV102+FY102</f>
        <v>10000</v>
      </c>
      <c r="GB102" s="15"/>
      <c r="GC102" s="15">
        <f>FZ102+GB102</f>
        <v>10000</v>
      </c>
      <c r="GE102" s="15"/>
      <c r="GF102" s="15">
        <f>GC102+GE102</f>
        <v>10000</v>
      </c>
      <c r="GH102" s="15"/>
      <c r="GI102" s="15">
        <f>GF102+GH102</f>
        <v>10000</v>
      </c>
      <c r="GK102" s="15"/>
      <c r="GL102" s="15">
        <f>GI102+GK102</f>
        <v>10000</v>
      </c>
      <c r="GN102" s="15"/>
      <c r="GO102" s="15">
        <f>GL102+GN102</f>
        <v>10000</v>
      </c>
      <c r="GQ102" s="15"/>
      <c r="GR102" s="15">
        <f>GO102+GQ102</f>
        <v>10000</v>
      </c>
      <c r="GT102" s="15"/>
      <c r="GU102" s="15">
        <f>GR102+GT102</f>
        <v>10000</v>
      </c>
      <c r="GW102" s="15"/>
      <c r="GX102" s="15">
        <f>GU102+GW102</f>
        <v>10000</v>
      </c>
      <c r="GZ102" s="227">
        <v>20000</v>
      </c>
      <c r="HA102" s="189">
        <f>GX102+GZ102</f>
        <v>30000</v>
      </c>
      <c r="HC102" s="189">
        <v>30000</v>
      </c>
      <c r="HE102" s="15">
        <v>10000</v>
      </c>
      <c r="HF102" s="235">
        <f>HE102/HC102</f>
        <v>0.33333333333333331</v>
      </c>
    </row>
    <row r="103" spans="1:214" ht="17.25" customHeight="1" thickBot="1">
      <c r="A103" s="54" t="s">
        <v>323</v>
      </c>
      <c r="B103" s="55" t="s">
        <v>316</v>
      </c>
      <c r="C103" s="283" t="s">
        <v>324</v>
      </c>
      <c r="D103" s="57" t="e">
        <f>#REF!</f>
        <v>#REF!</v>
      </c>
      <c r="E103" s="58"/>
      <c r="F103" s="57" t="e">
        <f>#REF!</f>
        <v>#REF!</v>
      </c>
      <c r="G103" s="58"/>
      <c r="H103" s="57"/>
      <c r="I103" s="57" t="e">
        <f>#REF!</f>
        <v>#REF!</v>
      </c>
      <c r="J103" s="138" t="e">
        <f>I103/$I$350</f>
        <v>#REF!</v>
      </c>
      <c r="K103" s="60"/>
      <c r="L103" s="122">
        <f>SUM(L101:L102)</f>
        <v>11000</v>
      </c>
      <c r="M103" s="61" t="e">
        <f t="shared" si="268"/>
        <v>#REF!</v>
      </c>
      <c r="N103" s="61" t="e">
        <f t="shared" si="269"/>
        <v>#REF!</v>
      </c>
      <c r="O103" s="17">
        <f>L103/$L$350</f>
        <v>2.5522042237068072E-3</v>
      </c>
      <c r="P103" s="17"/>
      <c r="Q103" s="122">
        <f>SUM(Q101:Q102)</f>
        <v>11000</v>
      </c>
      <c r="R103" s="122">
        <f>SUM(R101:R102)</f>
        <v>10000</v>
      </c>
      <c r="S103" s="122">
        <f>SUM(S101:S102)</f>
        <v>10000</v>
      </c>
      <c r="T103" s="122">
        <f>SUM(T101:T102)</f>
        <v>-1000</v>
      </c>
      <c r="U103" s="155">
        <f t="shared" si="205"/>
        <v>-9.0909090909090939E-2</v>
      </c>
      <c r="Y103" s="122">
        <f>SUM(Y101:Y102)</f>
        <v>10000</v>
      </c>
      <c r="AA103" s="122">
        <f>SUM(AA101:AA102)</f>
        <v>10000</v>
      </c>
      <c r="AB103" s="122">
        <f>SUM(AB101:AB102)</f>
        <v>0</v>
      </c>
      <c r="AE103" s="122">
        <f>SUM(AE101:AE102)</f>
        <v>10000</v>
      </c>
      <c r="AF103" s="182"/>
      <c r="AH103" s="122">
        <f>SUM(AH101:AH102)</f>
        <v>10000</v>
      </c>
      <c r="AI103" s="17">
        <f t="shared" si="206"/>
        <v>1</v>
      </c>
      <c r="AK103" s="122">
        <f>SUM(AK101:AK102)</f>
        <v>10000</v>
      </c>
      <c r="AL103" s="193">
        <f>AK103/L103</f>
        <v>0.90909090909090906</v>
      </c>
      <c r="AM103" s="17">
        <f>AK103/AE103</f>
        <v>1</v>
      </c>
      <c r="AN103" s="17">
        <f>AK103/AH103</f>
        <v>1</v>
      </c>
      <c r="AS103" s="122">
        <f>SUM(AS101:AS102)</f>
        <v>10000</v>
      </c>
      <c r="AU103" s="122">
        <f>SUM(AU101:AU102)</f>
        <v>0</v>
      </c>
      <c r="AV103" s="122">
        <f>SUM(AV101:AV102)</f>
        <v>10000</v>
      </c>
      <c r="AX103" s="122">
        <f>SUM(AX101:AX102)</f>
        <v>0</v>
      </c>
      <c r="AY103" s="122">
        <f>SUM(AY101:AY102)</f>
        <v>10000</v>
      </c>
      <c r="BA103" s="122">
        <f>SUM(BA101:BA102)</f>
        <v>0</v>
      </c>
      <c r="BB103" s="122">
        <f>SUM(BB101:BB102)</f>
        <v>10000</v>
      </c>
      <c r="BD103" s="122">
        <f>SUM(BD101:BD102)</f>
        <v>0</v>
      </c>
      <c r="BE103" s="122">
        <f>SUM(BE101:BE102)</f>
        <v>10000</v>
      </c>
      <c r="BG103" s="122">
        <f>SUM(BG101:BG102)</f>
        <v>0</v>
      </c>
      <c r="BH103" s="122">
        <f>SUM(BH101:BH102)</f>
        <v>10000</v>
      </c>
      <c r="BJ103" s="122">
        <f>SUM(BJ101:BJ102)</f>
        <v>10000</v>
      </c>
      <c r="BK103" s="236">
        <f t="shared" si="300"/>
        <v>1</v>
      </c>
      <c r="BM103" s="122">
        <f>SUM(BM101:BM102)</f>
        <v>10000</v>
      </c>
      <c r="BN103" s="236">
        <f t="shared" si="301"/>
        <v>1</v>
      </c>
      <c r="BO103" s="236">
        <f t="shared" si="302"/>
        <v>1</v>
      </c>
      <c r="BQ103" s="122">
        <f>SUM(BQ101:BQ102)</f>
        <v>0</v>
      </c>
      <c r="BR103" s="122">
        <f>SUM(BR101:BR102)</f>
        <v>10000</v>
      </c>
      <c r="BT103" s="122">
        <f>SUM(BT101:BT102)</f>
        <v>0</v>
      </c>
      <c r="BU103" s="122">
        <f>SUM(BU101:BU102)</f>
        <v>10000</v>
      </c>
      <c r="BW103" s="122">
        <f>SUM(BW101:BW102)</f>
        <v>0</v>
      </c>
      <c r="BX103" s="122">
        <f>SUM(BX101:BX102)</f>
        <v>10000</v>
      </c>
      <c r="BZ103" s="122">
        <f>SUM(BZ101:BZ102)</f>
        <v>0</v>
      </c>
      <c r="CA103" s="122">
        <f>SUM(CA101:CA102)</f>
        <v>10000</v>
      </c>
      <c r="CC103" s="122">
        <f>SUM(CC101:CC102)</f>
        <v>0</v>
      </c>
      <c r="CD103" s="122">
        <f>SUM(CD101:CD102)</f>
        <v>10000</v>
      </c>
      <c r="CF103" s="122">
        <f>SUM(CF101:CF102)</f>
        <v>0</v>
      </c>
      <c r="CG103" s="122">
        <f>SUM(CG101:CG102)</f>
        <v>10000</v>
      </c>
      <c r="CI103" s="122">
        <f>SUM(CI101:CI102)</f>
        <v>0</v>
      </c>
      <c r="CJ103" s="122">
        <f>SUM(CJ101:CJ102)</f>
        <v>10000</v>
      </c>
      <c r="CL103" s="319">
        <f>SUM(CL101:CL102)</f>
        <v>0</v>
      </c>
      <c r="CM103" s="122">
        <f>SUM(CM101:CM102)</f>
        <v>10000</v>
      </c>
      <c r="CO103" s="122">
        <f>SUM(CO101:CO102)</f>
        <v>0</v>
      </c>
      <c r="CP103" s="122">
        <f>SUM(CP101:CP102)</f>
        <v>10000</v>
      </c>
      <c r="CR103" s="122">
        <f>SUM(CR101:CR102)</f>
        <v>0</v>
      </c>
      <c r="CS103" s="122">
        <f>SUM(CS101:CS102)</f>
        <v>10000</v>
      </c>
      <c r="CU103" s="122">
        <f>SUM(CU101:CU102)</f>
        <v>0</v>
      </c>
      <c r="CV103" s="122">
        <f>SUM(CV101:CV102)</f>
        <v>10000</v>
      </c>
      <c r="CX103" s="122">
        <f>SUM(CX101:CX102)</f>
        <v>0</v>
      </c>
      <c r="CY103" s="122">
        <f>SUM(CY101:CY102)</f>
        <v>10000</v>
      </c>
      <c r="DA103" s="122">
        <f>SUM(DA101:DA102)</f>
        <v>10000</v>
      </c>
      <c r="DC103" s="122">
        <f>SUM(DC101:DC102)</f>
        <v>10000</v>
      </c>
      <c r="DE103" s="122">
        <f>SUM(DE101:DE102)</f>
        <v>0</v>
      </c>
      <c r="DF103" s="122">
        <f>SUM(DF101:DF102)</f>
        <v>10000</v>
      </c>
      <c r="DH103" s="122">
        <f>SUM(DH101:DH102)</f>
        <v>0</v>
      </c>
      <c r="DI103" s="122">
        <f>SUM(DI101:DI102)</f>
        <v>10000</v>
      </c>
      <c r="DK103" s="122">
        <f>SUM(DK101:DK102)</f>
        <v>0</v>
      </c>
      <c r="DL103" s="122">
        <f>SUM(DL101:DL102)</f>
        <v>10000</v>
      </c>
      <c r="DN103" s="122">
        <f>SUM(DN101:DN102)</f>
        <v>0</v>
      </c>
      <c r="DO103" s="122">
        <f>SUM(DO101:DO102)</f>
        <v>10000</v>
      </c>
      <c r="DQ103" s="122">
        <f>SUM(DQ101:DQ102)</f>
        <v>0</v>
      </c>
      <c r="DR103" s="122">
        <f>SUM(DR101:DR102)</f>
        <v>10000</v>
      </c>
      <c r="DT103" s="122">
        <f>SUM(DT101:DT102)</f>
        <v>0</v>
      </c>
      <c r="DU103" s="122">
        <f>SUM(DU101:DU102)</f>
        <v>10000</v>
      </c>
      <c r="DW103" s="122">
        <f>SUM(DW101:DW102)</f>
        <v>0</v>
      </c>
      <c r="DX103" s="122">
        <f>SUM(DX101:DX102)</f>
        <v>10000</v>
      </c>
      <c r="DZ103" s="122">
        <f>SUM(DZ101:DZ102)</f>
        <v>0</v>
      </c>
      <c r="EA103" s="122">
        <f>SUM(EA101:EA102)</f>
        <v>10000</v>
      </c>
      <c r="EC103" s="122">
        <f>SUM(EC101:EC102)</f>
        <v>0</v>
      </c>
      <c r="ED103" s="122">
        <f>SUM(ED101:ED102)</f>
        <v>10000</v>
      </c>
      <c r="EF103" s="122">
        <f>SUM(EF101:EF102)</f>
        <v>0</v>
      </c>
      <c r="EG103" s="122">
        <f>SUM(EG101:EG102)</f>
        <v>10000</v>
      </c>
      <c r="EI103" s="122">
        <f>SUM(EI101:EI102)</f>
        <v>10000</v>
      </c>
      <c r="EK103" s="122">
        <f>SUM(EK101:EK102)</f>
        <v>10000</v>
      </c>
      <c r="EL103" s="377">
        <f>EK103/EI103-1</f>
        <v>0</v>
      </c>
      <c r="EM103" s="122">
        <f>SUM(EM101:EM102)</f>
        <v>0</v>
      </c>
      <c r="EN103" s="122">
        <f>SUM(EN101:EN102)</f>
        <v>10000</v>
      </c>
      <c r="EP103" s="122">
        <f>SUM(EP101:EP102)</f>
        <v>0</v>
      </c>
      <c r="EQ103" s="122">
        <f>SUM(EQ101:EQ102)</f>
        <v>10000</v>
      </c>
      <c r="ES103" s="122">
        <f>SUM(ES101:ES102)</f>
        <v>0</v>
      </c>
      <c r="ET103" s="122">
        <f>SUM(ET101:ET102)</f>
        <v>10000</v>
      </c>
      <c r="EV103" s="122">
        <f>SUM(EV101:EV102)</f>
        <v>0</v>
      </c>
      <c r="EW103" s="122">
        <f>SUM(EW101:EW102)</f>
        <v>10000</v>
      </c>
      <c r="EY103" s="122">
        <f>SUM(EY101:EY102)</f>
        <v>0</v>
      </c>
      <c r="EZ103" s="122">
        <f>SUM(EZ101:EZ102)</f>
        <v>10000</v>
      </c>
      <c r="FB103" s="122">
        <f>SUM(FB101:FB102)</f>
        <v>0</v>
      </c>
      <c r="FC103" s="122">
        <f>SUM(FC101:FC102)</f>
        <v>10000</v>
      </c>
      <c r="FE103" s="122">
        <f>SUM(FE101:FE102)</f>
        <v>0</v>
      </c>
      <c r="FF103" s="122">
        <f>SUM(FF101:FF102)</f>
        <v>10000</v>
      </c>
      <c r="FH103" s="122">
        <f>SUM(FH101:FH102)</f>
        <v>0</v>
      </c>
      <c r="FI103" s="122">
        <f>SUM(FI101:FI102)</f>
        <v>10000</v>
      </c>
      <c r="FK103" s="122">
        <f>SUM(FK101:FK102)</f>
        <v>-1772</v>
      </c>
      <c r="FL103" s="122">
        <f>SUM(FL101:FL102)</f>
        <v>8228</v>
      </c>
      <c r="FN103" s="122">
        <f>SUM(FN101:FN102)</f>
        <v>0</v>
      </c>
      <c r="FO103" s="122">
        <f>SUM(FO101:FO102)</f>
        <v>8228</v>
      </c>
      <c r="FQ103" s="122">
        <v>0</v>
      </c>
      <c r="FR103" s="122">
        <v>8228</v>
      </c>
      <c r="FT103" s="122">
        <f>SUM(FT101:FT102)</f>
        <v>8228</v>
      </c>
      <c r="FV103" s="122">
        <f>SUM(FV101:FV102)</f>
        <v>10000</v>
      </c>
      <c r="FW103" s="235">
        <f t="shared" si="323"/>
        <v>1.2153621779290229</v>
      </c>
      <c r="FY103" s="122">
        <f>SUM(FY101:FY102)</f>
        <v>0</v>
      </c>
      <c r="FZ103" s="122">
        <f>SUM(FZ101:FZ102)</f>
        <v>10000</v>
      </c>
      <c r="GB103" s="122">
        <f>SUM(GB101:GB102)</f>
        <v>0</v>
      </c>
      <c r="GC103" s="122">
        <f>SUM(GC101:GC102)</f>
        <v>10000</v>
      </c>
      <c r="GE103" s="122">
        <f>SUM(GE101:GE102)</f>
        <v>0</v>
      </c>
      <c r="GF103" s="122">
        <f>SUM(GF101:GF102)</f>
        <v>10000</v>
      </c>
      <c r="GH103" s="122">
        <f>SUM(GH101:GH102)</f>
        <v>0</v>
      </c>
      <c r="GI103" s="122">
        <f>SUM(GI101:GI102)</f>
        <v>10000</v>
      </c>
      <c r="GK103" s="122">
        <f>SUM(GK101:GK102)</f>
        <v>0</v>
      </c>
      <c r="GL103" s="122">
        <f>SUM(GL101:GL102)</f>
        <v>10000</v>
      </c>
      <c r="GN103" s="122">
        <f>SUM(GN101:GN102)</f>
        <v>0</v>
      </c>
      <c r="GO103" s="122">
        <f>SUM(GO101:GO102)</f>
        <v>10000</v>
      </c>
      <c r="GQ103" s="122">
        <f>SUM(GQ101:GQ102)</f>
        <v>0</v>
      </c>
      <c r="GR103" s="122">
        <f>SUM(GR101:GR102)</f>
        <v>10000</v>
      </c>
      <c r="GT103" s="122">
        <f>SUM(GT101:GT102)</f>
        <v>0</v>
      </c>
      <c r="GU103" s="122">
        <f>SUM(GU101:GU102)</f>
        <v>10000</v>
      </c>
      <c r="GW103" s="122">
        <f>SUM(GW101:GW102)</f>
        <v>0</v>
      </c>
      <c r="GX103" s="122">
        <f>SUM(GX101:GX102)</f>
        <v>10000</v>
      </c>
      <c r="GZ103" s="122">
        <f>SUM(GZ101:GZ102)</f>
        <v>20000</v>
      </c>
      <c r="HA103" s="430">
        <f>SUM(HA101:HA102)</f>
        <v>30000</v>
      </c>
      <c r="HC103" s="122">
        <f>SUM(HC101:HC102)</f>
        <v>30000</v>
      </c>
      <c r="HE103" s="122">
        <f>SUM(HE101:HE102)</f>
        <v>10000</v>
      </c>
      <c r="HF103" s="235">
        <f>HE103/HC103</f>
        <v>0.33333333333333331</v>
      </c>
    </row>
    <row r="104" spans="1:214" ht="17.25" customHeight="1" thickTop="1">
      <c r="A104" s="1" t="s">
        <v>165</v>
      </c>
      <c r="B104" s="1" t="s">
        <v>183</v>
      </c>
      <c r="C104" s="4" t="s">
        <v>184</v>
      </c>
      <c r="D104" s="323"/>
      <c r="E104" s="324"/>
      <c r="F104" s="323"/>
      <c r="G104" s="324"/>
      <c r="H104" s="323"/>
      <c r="I104" s="323"/>
      <c r="J104" s="325"/>
      <c r="K104" s="326"/>
      <c r="L104" s="121"/>
      <c r="M104" s="328"/>
      <c r="N104" s="328"/>
      <c r="O104" s="17"/>
      <c r="P104" s="17"/>
      <c r="Q104" s="327"/>
      <c r="R104" s="327"/>
      <c r="S104" s="327"/>
      <c r="T104" s="327"/>
      <c r="U104" s="155"/>
      <c r="Y104" s="327"/>
      <c r="AA104" s="327"/>
      <c r="AB104" s="327"/>
      <c r="AE104" s="121"/>
      <c r="AF104" s="187"/>
      <c r="AH104" s="121"/>
      <c r="AI104" s="224"/>
      <c r="AK104" s="121"/>
      <c r="AL104" s="193"/>
      <c r="AM104" s="17"/>
      <c r="AN104" s="17"/>
      <c r="AS104" s="327"/>
      <c r="AU104" s="327"/>
      <c r="AV104" s="327"/>
      <c r="AX104" s="327"/>
      <c r="AY104" s="327"/>
      <c r="BA104" s="327"/>
      <c r="BB104" s="327"/>
      <c r="BD104" s="327"/>
      <c r="BE104" s="327"/>
      <c r="BG104" s="121"/>
      <c r="BH104" s="121"/>
      <c r="BJ104" s="121"/>
      <c r="BK104" s="291"/>
      <c r="BM104" s="121"/>
      <c r="BN104" s="291"/>
      <c r="BO104" s="291"/>
      <c r="BQ104" s="327"/>
      <c r="BR104" s="327"/>
      <c r="BT104" s="327"/>
      <c r="BU104" s="327"/>
      <c r="BW104" s="327"/>
      <c r="BX104" s="327"/>
      <c r="BZ104" s="327"/>
      <c r="CA104" s="327"/>
      <c r="CC104" s="327"/>
      <c r="CD104" s="327"/>
      <c r="CF104" s="327"/>
      <c r="CG104" s="327"/>
      <c r="CI104" s="327"/>
      <c r="CJ104" s="327"/>
      <c r="CL104" s="121"/>
      <c r="CM104" s="327"/>
      <c r="CO104" s="327"/>
      <c r="CP104" s="327"/>
      <c r="CR104" s="327"/>
      <c r="CS104" s="327"/>
      <c r="CU104" s="327"/>
      <c r="CV104" s="327"/>
      <c r="CX104" s="121"/>
      <c r="CY104" s="121"/>
      <c r="DA104" s="121"/>
      <c r="DC104" s="121"/>
      <c r="DE104" s="327"/>
      <c r="DF104" s="327"/>
      <c r="DH104" s="327"/>
      <c r="DI104" s="327"/>
      <c r="DK104" s="327"/>
      <c r="DL104" s="327"/>
      <c r="DN104" s="327"/>
      <c r="DO104" s="327"/>
      <c r="DQ104" s="327"/>
      <c r="DR104" s="327"/>
      <c r="DT104" s="327"/>
      <c r="DU104" s="327"/>
      <c r="DW104" s="327"/>
      <c r="DX104" s="327"/>
      <c r="DZ104" s="327"/>
      <c r="EA104" s="327"/>
      <c r="EC104" s="327"/>
      <c r="ED104" s="327"/>
      <c r="EF104" s="121"/>
      <c r="EG104" s="121"/>
      <c r="EI104" s="121"/>
      <c r="EK104" s="36">
        <v>35000</v>
      </c>
      <c r="EL104" s="403"/>
      <c r="EM104" s="121"/>
      <c r="EN104" s="15">
        <f t="shared" ref="EN104:EN107" si="324">EK104+EM104</f>
        <v>35000</v>
      </c>
      <c r="EP104" s="121"/>
      <c r="EQ104" s="15">
        <f t="shared" ref="EQ104:EQ112" si="325">EN104+EP104</f>
        <v>35000</v>
      </c>
      <c r="ES104" s="121"/>
      <c r="ET104" s="15">
        <f t="shared" ref="ET104:ET112" si="326">EQ104+ES104</f>
        <v>35000</v>
      </c>
      <c r="EV104" s="121"/>
      <c r="EW104" s="15">
        <f t="shared" ref="EW104:EW112" si="327">ET104+EV104</f>
        <v>35000</v>
      </c>
      <c r="EY104" s="121"/>
      <c r="EZ104" s="15">
        <f t="shared" ref="EZ104:EZ112" si="328">EW104+EY104</f>
        <v>35000</v>
      </c>
      <c r="FB104" s="121"/>
      <c r="FC104" s="15">
        <f t="shared" ref="FC104:FC112" si="329">EZ104+FB104</f>
        <v>35000</v>
      </c>
      <c r="FE104" s="121"/>
      <c r="FF104" s="15">
        <f t="shared" ref="FF104:FF112" si="330">FC104+FE104</f>
        <v>35000</v>
      </c>
      <c r="FH104" s="121"/>
      <c r="FI104" s="15">
        <f t="shared" ref="FI104:FI112" si="331">FF104+FH104</f>
        <v>35000</v>
      </c>
      <c r="FK104" s="299">
        <v>-35000</v>
      </c>
      <c r="FL104" s="15">
        <f t="shared" ref="FL104:FL112" si="332">FI104+FK104</f>
        <v>0</v>
      </c>
      <c r="FN104" s="36"/>
      <c r="FO104" s="15">
        <f t="shared" ref="FO104:FO112" si="333">FL104+FN104</f>
        <v>0</v>
      </c>
      <c r="FQ104" s="36"/>
      <c r="FR104" s="15">
        <v>0</v>
      </c>
      <c r="FT104" s="121"/>
      <c r="FV104" s="121"/>
      <c r="FY104" s="36"/>
      <c r="FZ104" s="15">
        <f t="shared" ref="FZ104:FZ115" si="334">FV104+FY104</f>
        <v>0</v>
      </c>
      <c r="GB104" s="36"/>
      <c r="GC104" s="15">
        <f t="shared" ref="GC104:GC115" si="335">FZ104+GB104</f>
        <v>0</v>
      </c>
      <c r="GE104" s="36"/>
      <c r="GF104" s="15">
        <f t="shared" ref="GF104:GF115" si="336">GC104+GE104</f>
        <v>0</v>
      </c>
      <c r="GH104" s="36"/>
      <c r="GI104" s="15">
        <f t="shared" ref="GI104:GI115" si="337">GF104+GH104</f>
        <v>0</v>
      </c>
      <c r="GK104" s="36"/>
      <c r="GL104" s="15">
        <f t="shared" ref="GL104:GL115" si="338">GI104+GK104</f>
        <v>0</v>
      </c>
      <c r="GN104" s="36"/>
      <c r="GO104" s="15">
        <f t="shared" ref="GO104:GO115" si="339">GL104+GN104</f>
        <v>0</v>
      </c>
      <c r="GQ104" s="36"/>
      <c r="GR104" s="15">
        <f t="shared" ref="GR104:GR115" si="340">GO104+GQ104</f>
        <v>0</v>
      </c>
      <c r="GT104" s="36"/>
      <c r="GU104" s="15">
        <f t="shared" ref="GU104:GU115" si="341">GR104+GT104</f>
        <v>0</v>
      </c>
      <c r="GW104" s="36"/>
      <c r="GX104" s="15">
        <f t="shared" ref="GX104:GX115" si="342">GU104+GW104</f>
        <v>0</v>
      </c>
      <c r="GZ104" s="36"/>
      <c r="HA104" s="189">
        <f t="shared" ref="HA104:HA115" si="343">GX104+GZ104</f>
        <v>0</v>
      </c>
      <c r="HE104" s="36">
        <v>0</v>
      </c>
    </row>
    <row r="105" spans="1:214" ht="17.25" customHeight="1">
      <c r="A105" s="1" t="s">
        <v>165</v>
      </c>
      <c r="B105" s="1" t="s">
        <v>142</v>
      </c>
      <c r="C105" s="4" t="s">
        <v>143</v>
      </c>
      <c r="D105" s="323"/>
      <c r="E105" s="324"/>
      <c r="F105" s="323"/>
      <c r="G105" s="324"/>
      <c r="H105" s="323"/>
      <c r="I105" s="323"/>
      <c r="J105" s="325"/>
      <c r="K105" s="326"/>
      <c r="L105" s="121"/>
      <c r="M105" s="328"/>
      <c r="N105" s="328"/>
      <c r="O105" s="17"/>
      <c r="P105" s="17"/>
      <c r="Q105" s="327"/>
      <c r="R105" s="327"/>
      <c r="S105" s="327"/>
      <c r="T105" s="327"/>
      <c r="U105" s="155"/>
      <c r="Y105" s="327"/>
      <c r="AA105" s="327"/>
      <c r="AB105" s="327"/>
      <c r="AE105" s="121"/>
      <c r="AF105" s="187"/>
      <c r="AH105" s="121"/>
      <c r="AI105" s="224"/>
      <c r="AK105" s="121"/>
      <c r="AL105" s="193"/>
      <c r="AM105" s="17"/>
      <c r="AN105" s="17"/>
      <c r="AS105" s="327"/>
      <c r="AU105" s="327"/>
      <c r="AV105" s="327"/>
      <c r="AX105" s="327"/>
      <c r="AY105" s="327"/>
      <c r="BA105" s="327"/>
      <c r="BB105" s="327"/>
      <c r="BD105" s="327"/>
      <c r="BE105" s="327"/>
      <c r="BG105" s="121"/>
      <c r="BH105" s="121"/>
      <c r="BJ105" s="121"/>
      <c r="BK105" s="291"/>
      <c r="BM105" s="121"/>
      <c r="BN105" s="291"/>
      <c r="BO105" s="291"/>
      <c r="BQ105" s="327"/>
      <c r="BR105" s="327"/>
      <c r="BT105" s="327"/>
      <c r="BU105" s="327"/>
      <c r="BW105" s="327"/>
      <c r="BX105" s="327"/>
      <c r="BZ105" s="327"/>
      <c r="CA105" s="327"/>
      <c r="CC105" s="327"/>
      <c r="CD105" s="327"/>
      <c r="CF105" s="327"/>
      <c r="CG105" s="327"/>
      <c r="CI105" s="327"/>
      <c r="CJ105" s="327"/>
      <c r="CL105" s="121"/>
      <c r="CM105" s="327"/>
      <c r="CO105" s="327"/>
      <c r="CP105" s="327"/>
      <c r="CR105" s="327"/>
      <c r="CS105" s="327"/>
      <c r="CU105" s="327"/>
      <c r="CV105" s="327"/>
      <c r="CX105" s="121"/>
      <c r="CY105" s="121"/>
      <c r="DA105" s="121"/>
      <c r="DC105" s="121"/>
      <c r="DE105" s="327"/>
      <c r="DF105" s="327"/>
      <c r="DH105" s="327"/>
      <c r="DI105" s="327"/>
      <c r="DK105" s="327"/>
      <c r="DL105" s="327"/>
      <c r="DN105" s="327"/>
      <c r="DO105" s="327"/>
      <c r="DQ105" s="327"/>
      <c r="DR105" s="327"/>
      <c r="DT105" s="327"/>
      <c r="DU105" s="327"/>
      <c r="DW105" s="327"/>
      <c r="DX105" s="327"/>
      <c r="DZ105" s="327"/>
      <c r="EA105" s="327"/>
      <c r="EC105" s="327"/>
      <c r="ED105" s="327"/>
      <c r="EF105" s="121"/>
      <c r="EG105" s="121"/>
      <c r="EI105" s="121"/>
      <c r="EK105" s="36">
        <v>30000</v>
      </c>
      <c r="EL105" s="403"/>
      <c r="EM105" s="121"/>
      <c r="EN105" s="15">
        <f t="shared" si="324"/>
        <v>30000</v>
      </c>
      <c r="EP105" s="121"/>
      <c r="EQ105" s="15">
        <f t="shared" si="325"/>
        <v>30000</v>
      </c>
      <c r="ES105" s="121"/>
      <c r="ET105" s="15">
        <f t="shared" si="326"/>
        <v>30000</v>
      </c>
      <c r="EV105" s="121"/>
      <c r="EW105" s="15">
        <f t="shared" si="327"/>
        <v>30000</v>
      </c>
      <c r="EY105" s="121"/>
      <c r="EZ105" s="15">
        <f t="shared" si="328"/>
        <v>30000</v>
      </c>
      <c r="FB105" s="121"/>
      <c r="FC105" s="15">
        <f t="shared" si="329"/>
        <v>30000</v>
      </c>
      <c r="FE105" s="121"/>
      <c r="FF105" s="15">
        <f t="shared" si="330"/>
        <v>30000</v>
      </c>
      <c r="FH105" s="121"/>
      <c r="FI105" s="15">
        <f t="shared" si="331"/>
        <v>30000</v>
      </c>
      <c r="FK105" s="299">
        <v>-30000</v>
      </c>
      <c r="FL105" s="15">
        <f t="shared" si="332"/>
        <v>0</v>
      </c>
      <c r="FN105" s="36"/>
      <c r="FO105" s="15">
        <f t="shared" si="333"/>
        <v>0</v>
      </c>
      <c r="FQ105" s="36"/>
      <c r="FR105" s="15">
        <v>0</v>
      </c>
      <c r="FT105" s="121"/>
      <c r="FV105" s="121"/>
      <c r="FY105" s="36"/>
      <c r="FZ105" s="15">
        <f t="shared" si="334"/>
        <v>0</v>
      </c>
      <c r="GB105" s="36"/>
      <c r="GC105" s="15">
        <f t="shared" si="335"/>
        <v>0</v>
      </c>
      <c r="GE105" s="36"/>
      <c r="GF105" s="15">
        <f t="shared" si="336"/>
        <v>0</v>
      </c>
      <c r="GH105" s="36"/>
      <c r="GI105" s="15">
        <f t="shared" si="337"/>
        <v>0</v>
      </c>
      <c r="GK105" s="36"/>
      <c r="GL105" s="15">
        <f t="shared" si="338"/>
        <v>0</v>
      </c>
      <c r="GN105" s="36"/>
      <c r="GO105" s="15">
        <f t="shared" si="339"/>
        <v>0</v>
      </c>
      <c r="GQ105" s="36"/>
      <c r="GR105" s="15">
        <f t="shared" si="340"/>
        <v>0</v>
      </c>
      <c r="GT105" s="36"/>
      <c r="GU105" s="15">
        <f t="shared" si="341"/>
        <v>0</v>
      </c>
      <c r="GW105" s="36"/>
      <c r="GX105" s="15">
        <f t="shared" si="342"/>
        <v>0</v>
      </c>
      <c r="GZ105" s="36"/>
      <c r="HA105" s="189">
        <f t="shared" si="343"/>
        <v>0</v>
      </c>
      <c r="HE105" s="36">
        <v>0</v>
      </c>
    </row>
    <row r="106" spans="1:214" ht="17.25" customHeight="1">
      <c r="A106" s="1" t="s">
        <v>165</v>
      </c>
      <c r="B106" s="1" t="s">
        <v>185</v>
      </c>
      <c r="C106" s="4" t="s">
        <v>186</v>
      </c>
      <c r="D106" s="323"/>
      <c r="E106" s="324"/>
      <c r="F106" s="323"/>
      <c r="G106" s="324"/>
      <c r="H106" s="323"/>
      <c r="I106" s="323"/>
      <c r="J106" s="325"/>
      <c r="K106" s="326"/>
      <c r="L106" s="121"/>
      <c r="M106" s="328"/>
      <c r="N106" s="328"/>
      <c r="O106" s="17"/>
      <c r="P106" s="17"/>
      <c r="Q106" s="327"/>
      <c r="R106" s="327"/>
      <c r="S106" s="327"/>
      <c r="T106" s="327"/>
      <c r="U106" s="155"/>
      <c r="Y106" s="327"/>
      <c r="AA106" s="327"/>
      <c r="AB106" s="327"/>
      <c r="AE106" s="121"/>
      <c r="AF106" s="187"/>
      <c r="AH106" s="121"/>
      <c r="AI106" s="224"/>
      <c r="AK106" s="121"/>
      <c r="AL106" s="193"/>
      <c r="AM106" s="17"/>
      <c r="AN106" s="17"/>
      <c r="AS106" s="327"/>
      <c r="AU106" s="327"/>
      <c r="AV106" s="327"/>
      <c r="AX106" s="327"/>
      <c r="AY106" s="327"/>
      <c r="BA106" s="327"/>
      <c r="BB106" s="327"/>
      <c r="BD106" s="327"/>
      <c r="BE106" s="327"/>
      <c r="BG106" s="121"/>
      <c r="BH106" s="121"/>
      <c r="BJ106" s="121"/>
      <c r="BK106" s="291"/>
      <c r="BM106" s="121"/>
      <c r="BN106" s="291"/>
      <c r="BO106" s="291"/>
      <c r="BQ106" s="327"/>
      <c r="BR106" s="327"/>
      <c r="BT106" s="327"/>
      <c r="BU106" s="327"/>
      <c r="BW106" s="327"/>
      <c r="BX106" s="327"/>
      <c r="BZ106" s="327"/>
      <c r="CA106" s="327"/>
      <c r="CC106" s="327"/>
      <c r="CD106" s="327"/>
      <c r="CF106" s="327"/>
      <c r="CG106" s="327"/>
      <c r="CI106" s="327"/>
      <c r="CJ106" s="327"/>
      <c r="CL106" s="121"/>
      <c r="CM106" s="327"/>
      <c r="CO106" s="327"/>
      <c r="CP106" s="327"/>
      <c r="CR106" s="327"/>
      <c r="CS106" s="327"/>
      <c r="CU106" s="327"/>
      <c r="CV106" s="327"/>
      <c r="CX106" s="121"/>
      <c r="CY106" s="121"/>
      <c r="DA106" s="121"/>
      <c r="DC106" s="121"/>
      <c r="DE106" s="327"/>
      <c r="DF106" s="327"/>
      <c r="DH106" s="327"/>
      <c r="DI106" s="327"/>
      <c r="DK106" s="327"/>
      <c r="DL106" s="327"/>
      <c r="DN106" s="327"/>
      <c r="DO106" s="327"/>
      <c r="DQ106" s="327"/>
      <c r="DR106" s="327"/>
      <c r="DT106" s="327"/>
      <c r="DU106" s="327"/>
      <c r="DW106" s="327"/>
      <c r="DX106" s="327"/>
      <c r="DZ106" s="327"/>
      <c r="EA106" s="327"/>
      <c r="EC106" s="327"/>
      <c r="ED106" s="327"/>
      <c r="EF106" s="121"/>
      <c r="EG106" s="121"/>
      <c r="EI106" s="121"/>
      <c r="EK106" s="36">
        <v>7000</v>
      </c>
      <c r="EL106" s="403"/>
      <c r="EM106" s="121"/>
      <c r="EN106" s="15">
        <f t="shared" si="324"/>
        <v>7000</v>
      </c>
      <c r="EP106" s="121"/>
      <c r="EQ106" s="15">
        <f t="shared" si="325"/>
        <v>7000</v>
      </c>
      <c r="ES106" s="121"/>
      <c r="ET106" s="15">
        <f t="shared" si="326"/>
        <v>7000</v>
      </c>
      <c r="EV106" s="121"/>
      <c r="EW106" s="15">
        <f t="shared" si="327"/>
        <v>7000</v>
      </c>
      <c r="EY106" s="121"/>
      <c r="EZ106" s="15">
        <f t="shared" si="328"/>
        <v>7000</v>
      </c>
      <c r="FB106" s="121"/>
      <c r="FC106" s="15">
        <f t="shared" si="329"/>
        <v>7000</v>
      </c>
      <c r="FE106" s="121"/>
      <c r="FF106" s="15">
        <f t="shared" si="330"/>
        <v>7000</v>
      </c>
      <c r="FH106" s="121"/>
      <c r="FI106" s="15">
        <f t="shared" si="331"/>
        <v>7000</v>
      </c>
      <c r="FK106" s="299">
        <v>-7000</v>
      </c>
      <c r="FL106" s="15">
        <f t="shared" si="332"/>
        <v>0</v>
      </c>
      <c r="FN106" s="36"/>
      <c r="FO106" s="15">
        <f t="shared" si="333"/>
        <v>0</v>
      </c>
      <c r="FQ106" s="36"/>
      <c r="FR106" s="15">
        <v>0</v>
      </c>
      <c r="FT106" s="121"/>
      <c r="FV106" s="121"/>
      <c r="FY106" s="36"/>
      <c r="FZ106" s="15">
        <f t="shared" si="334"/>
        <v>0</v>
      </c>
      <c r="GB106" s="36"/>
      <c r="GC106" s="15">
        <f t="shared" si="335"/>
        <v>0</v>
      </c>
      <c r="GE106" s="36"/>
      <c r="GF106" s="15">
        <f t="shared" si="336"/>
        <v>0</v>
      </c>
      <c r="GH106" s="36"/>
      <c r="GI106" s="15">
        <f t="shared" si="337"/>
        <v>0</v>
      </c>
      <c r="GK106" s="36"/>
      <c r="GL106" s="15">
        <f t="shared" si="338"/>
        <v>0</v>
      </c>
      <c r="GN106" s="36"/>
      <c r="GO106" s="15">
        <f t="shared" si="339"/>
        <v>0</v>
      </c>
      <c r="GQ106" s="36"/>
      <c r="GR106" s="15">
        <f t="shared" si="340"/>
        <v>0</v>
      </c>
      <c r="GT106" s="36"/>
      <c r="GU106" s="15">
        <f t="shared" si="341"/>
        <v>0</v>
      </c>
      <c r="GW106" s="36"/>
      <c r="GX106" s="15">
        <f t="shared" si="342"/>
        <v>0</v>
      </c>
      <c r="GZ106" s="36"/>
      <c r="HA106" s="189">
        <f t="shared" si="343"/>
        <v>0</v>
      </c>
      <c r="HE106" s="36">
        <v>0</v>
      </c>
    </row>
    <row r="107" spans="1:214" ht="17.25" customHeight="1">
      <c r="A107" s="1" t="s">
        <v>165</v>
      </c>
      <c r="B107" s="1" t="s">
        <v>187</v>
      </c>
      <c r="C107" s="4" t="s">
        <v>188</v>
      </c>
      <c r="D107" s="323"/>
      <c r="E107" s="324"/>
      <c r="F107" s="323"/>
      <c r="G107" s="324"/>
      <c r="H107" s="323"/>
      <c r="I107" s="323"/>
      <c r="J107" s="325"/>
      <c r="K107" s="326"/>
      <c r="L107" s="121"/>
      <c r="M107" s="328"/>
      <c r="N107" s="328"/>
      <c r="O107" s="17"/>
      <c r="P107" s="17"/>
      <c r="Q107" s="327"/>
      <c r="R107" s="327"/>
      <c r="S107" s="327"/>
      <c r="T107" s="327"/>
      <c r="U107" s="155"/>
      <c r="Y107" s="327"/>
      <c r="AA107" s="327"/>
      <c r="AB107" s="327"/>
      <c r="AE107" s="121"/>
      <c r="AF107" s="187"/>
      <c r="AH107" s="121"/>
      <c r="AI107" s="224"/>
      <c r="AK107" s="121"/>
      <c r="AL107" s="193"/>
      <c r="AM107" s="17"/>
      <c r="AN107" s="17"/>
      <c r="AS107" s="327"/>
      <c r="AU107" s="327"/>
      <c r="AV107" s="327"/>
      <c r="AX107" s="327"/>
      <c r="AY107" s="327"/>
      <c r="BA107" s="327"/>
      <c r="BB107" s="327"/>
      <c r="BD107" s="327"/>
      <c r="BE107" s="327"/>
      <c r="BG107" s="121"/>
      <c r="BH107" s="121"/>
      <c r="BJ107" s="121"/>
      <c r="BK107" s="291"/>
      <c r="BM107" s="121"/>
      <c r="BN107" s="291"/>
      <c r="BO107" s="291"/>
      <c r="BQ107" s="327"/>
      <c r="BR107" s="327"/>
      <c r="BT107" s="327"/>
      <c r="BU107" s="327"/>
      <c r="BW107" s="327"/>
      <c r="BX107" s="327"/>
      <c r="BZ107" s="327"/>
      <c r="CA107" s="327"/>
      <c r="CC107" s="327"/>
      <c r="CD107" s="327"/>
      <c r="CF107" s="327"/>
      <c r="CG107" s="327"/>
      <c r="CI107" s="327"/>
      <c r="CJ107" s="327"/>
      <c r="CL107" s="121"/>
      <c r="CM107" s="327"/>
      <c r="CO107" s="327"/>
      <c r="CP107" s="327"/>
      <c r="CR107" s="327"/>
      <c r="CS107" s="327"/>
      <c r="CU107" s="327"/>
      <c r="CV107" s="327"/>
      <c r="CX107" s="121"/>
      <c r="CY107" s="121"/>
      <c r="DA107" s="121"/>
      <c r="DC107" s="121"/>
      <c r="DE107" s="327"/>
      <c r="DF107" s="327"/>
      <c r="DH107" s="327"/>
      <c r="DI107" s="327"/>
      <c r="DK107" s="327"/>
      <c r="DL107" s="327"/>
      <c r="DN107" s="327"/>
      <c r="DO107" s="327"/>
      <c r="DQ107" s="327"/>
      <c r="DR107" s="327"/>
      <c r="DT107" s="327"/>
      <c r="DU107" s="327"/>
      <c r="DW107" s="327"/>
      <c r="DX107" s="327"/>
      <c r="DZ107" s="327"/>
      <c r="EA107" s="327"/>
      <c r="EC107" s="327"/>
      <c r="ED107" s="327"/>
      <c r="EF107" s="121"/>
      <c r="EG107" s="121"/>
      <c r="EI107" s="121"/>
      <c r="EK107" s="36">
        <v>3000</v>
      </c>
      <c r="EL107" s="403"/>
      <c r="EM107" s="121"/>
      <c r="EN107" s="15">
        <f t="shared" si="324"/>
        <v>3000</v>
      </c>
      <c r="EP107" s="121"/>
      <c r="EQ107" s="15">
        <f t="shared" si="325"/>
        <v>3000</v>
      </c>
      <c r="ES107" s="121"/>
      <c r="ET107" s="15">
        <f t="shared" si="326"/>
        <v>3000</v>
      </c>
      <c r="EV107" s="121"/>
      <c r="EW107" s="15">
        <f t="shared" si="327"/>
        <v>3000</v>
      </c>
      <c r="EY107" s="121"/>
      <c r="EZ107" s="15">
        <f t="shared" si="328"/>
        <v>3000</v>
      </c>
      <c r="FB107" s="121"/>
      <c r="FC107" s="15">
        <f t="shared" si="329"/>
        <v>3000</v>
      </c>
      <c r="FE107" s="121"/>
      <c r="FF107" s="15">
        <f t="shared" si="330"/>
        <v>3000</v>
      </c>
      <c r="FH107" s="121"/>
      <c r="FI107" s="15">
        <f t="shared" si="331"/>
        <v>3000</v>
      </c>
      <c r="FK107" s="299">
        <v>-3000</v>
      </c>
      <c r="FL107" s="15">
        <f t="shared" si="332"/>
        <v>0</v>
      </c>
      <c r="FN107" s="36"/>
      <c r="FO107" s="15">
        <f t="shared" si="333"/>
        <v>0</v>
      </c>
      <c r="FQ107" s="36"/>
      <c r="FR107" s="15">
        <v>0</v>
      </c>
      <c r="FT107" s="121"/>
      <c r="FV107" s="121"/>
      <c r="FY107" s="36"/>
      <c r="FZ107" s="15">
        <f t="shared" si="334"/>
        <v>0</v>
      </c>
      <c r="GB107" s="36"/>
      <c r="GC107" s="15">
        <f t="shared" si="335"/>
        <v>0</v>
      </c>
      <c r="GE107" s="36"/>
      <c r="GF107" s="15">
        <f t="shared" si="336"/>
        <v>0</v>
      </c>
      <c r="GH107" s="36"/>
      <c r="GI107" s="15">
        <f t="shared" si="337"/>
        <v>0</v>
      </c>
      <c r="GK107" s="36"/>
      <c r="GL107" s="15">
        <f t="shared" si="338"/>
        <v>0</v>
      </c>
      <c r="GN107" s="36"/>
      <c r="GO107" s="15">
        <f t="shared" si="339"/>
        <v>0</v>
      </c>
      <c r="GQ107" s="36"/>
      <c r="GR107" s="15">
        <f t="shared" si="340"/>
        <v>0</v>
      </c>
      <c r="GT107" s="36"/>
      <c r="GU107" s="15">
        <f t="shared" si="341"/>
        <v>0</v>
      </c>
      <c r="GW107" s="36"/>
      <c r="GX107" s="15">
        <f t="shared" si="342"/>
        <v>0</v>
      </c>
      <c r="GZ107" s="36"/>
      <c r="HA107" s="189">
        <f t="shared" si="343"/>
        <v>0</v>
      </c>
      <c r="HE107" s="36">
        <v>0</v>
      </c>
    </row>
    <row r="108" spans="1:214" outlineLevel="1">
      <c r="A108" s="1" t="s">
        <v>165</v>
      </c>
      <c r="B108" s="1" t="s">
        <v>113</v>
      </c>
      <c r="C108" s="481" t="s">
        <v>487</v>
      </c>
      <c r="D108" s="481"/>
      <c r="E108" s="481"/>
      <c r="F108" s="481"/>
      <c r="G108" s="481"/>
      <c r="H108" s="481"/>
      <c r="I108" s="481"/>
      <c r="J108" s="481"/>
      <c r="K108" s="481"/>
      <c r="L108" s="481"/>
      <c r="M108" s="481"/>
      <c r="N108" s="481"/>
      <c r="O108" s="481"/>
      <c r="P108" s="481"/>
      <c r="Q108" s="481"/>
      <c r="AF108" s="182"/>
      <c r="AH108" s="15"/>
      <c r="AX108" s="15"/>
      <c r="BA108" s="227">
        <v>5000</v>
      </c>
      <c r="BB108" s="15">
        <f t="shared" ref="BB108:BB111" si="344">AY108+BA108</f>
        <v>5000</v>
      </c>
      <c r="BD108" s="15"/>
      <c r="BE108" s="15">
        <f t="shared" ref="BE108:BE111" si="345">BB108+BD108</f>
        <v>5000</v>
      </c>
      <c r="BG108" s="15"/>
      <c r="BH108" s="15">
        <f t="shared" ref="BH108:BH111" si="346">BE108+BG108</f>
        <v>5000</v>
      </c>
      <c r="BJ108" s="15">
        <v>3315</v>
      </c>
      <c r="BK108" s="235">
        <f t="shared" ref="BK108:BK111" si="347">BJ108/BH108</f>
        <v>0.66300000000000003</v>
      </c>
      <c r="BM108" s="15">
        <v>3000</v>
      </c>
      <c r="BN108" s="235">
        <f t="shared" ref="BN108:BN111" si="348">BM108/BJ108</f>
        <v>0.90497737556561086</v>
      </c>
      <c r="BO108" s="235">
        <f t="shared" ref="BO108:BO111" si="349">BM108/BH108</f>
        <v>0.6</v>
      </c>
      <c r="BQ108" s="15"/>
      <c r="BR108" s="15">
        <f t="shared" ref="BR108:BR111" si="350">BM108+BQ108</f>
        <v>3000</v>
      </c>
      <c r="BT108" s="15"/>
      <c r="BU108" s="15">
        <f>BR108+BT108</f>
        <v>3000</v>
      </c>
      <c r="BW108" s="15"/>
      <c r="BX108" s="15">
        <f>BU108+BW108</f>
        <v>3000</v>
      </c>
      <c r="BZ108" s="15"/>
      <c r="CA108" s="15">
        <f t="shared" ref="CA108:CA113" si="351">BX108+BZ108</f>
        <v>3000</v>
      </c>
      <c r="CC108" s="15"/>
      <c r="CD108" s="15">
        <f t="shared" ref="CD108:CD113" si="352">CA108+CC108</f>
        <v>3000</v>
      </c>
      <c r="CF108" s="15"/>
      <c r="CG108" s="15">
        <f t="shared" ref="CG108:CG113" si="353">CD108+CF108</f>
        <v>3000</v>
      </c>
      <c r="CI108" s="15"/>
      <c r="CJ108" s="15">
        <f t="shared" ref="CJ108:CJ113" si="354">CG108+CI108</f>
        <v>3000</v>
      </c>
      <c r="CM108" s="15">
        <f t="shared" ref="CM108:CM113" si="355">CJ108+CL108</f>
        <v>3000</v>
      </c>
      <c r="CP108" s="15">
        <f t="shared" ref="CP108:CP113" si="356">CM108+CO108</f>
        <v>3000</v>
      </c>
      <c r="CS108" s="15">
        <f t="shared" ref="CS108:CS113" si="357">CP108+CR108</f>
        <v>3000</v>
      </c>
      <c r="CU108" s="227">
        <v>-3000</v>
      </c>
      <c r="CV108" s="15">
        <f t="shared" ref="CV108:CV113" si="358">CS108+CU108</f>
        <v>0</v>
      </c>
      <c r="CX108" s="227"/>
      <c r="CY108" s="15">
        <f t="shared" ref="CY108:CY113" si="359">CV108+CX108</f>
        <v>0</v>
      </c>
      <c r="DE108" s="15"/>
      <c r="DF108" s="15">
        <f t="shared" ref="DF108:DF111" si="360">DC108+DE108</f>
        <v>0</v>
      </c>
      <c r="DH108" s="227">
        <v>15000</v>
      </c>
      <c r="DI108" s="15">
        <f t="shared" ref="DI108:DI111" si="361">DF108+DH108</f>
        <v>15000</v>
      </c>
      <c r="DK108" s="15"/>
      <c r="DL108" s="15">
        <f t="shared" ref="DL108:DL111" si="362">DI108+DK108</f>
        <v>15000</v>
      </c>
      <c r="DN108" s="15"/>
      <c r="DO108" s="15">
        <f t="shared" ref="DO108:DO111" si="363">DL108+DN108</f>
        <v>15000</v>
      </c>
      <c r="DQ108" s="227">
        <v>3000</v>
      </c>
      <c r="DR108" s="15">
        <f t="shared" ref="DR108:DR112" si="364">DO108+DQ108</f>
        <v>18000</v>
      </c>
      <c r="DT108" s="15"/>
      <c r="DU108" s="15">
        <f t="shared" ref="DU108:DU112" si="365">DR108+DT108</f>
        <v>18000</v>
      </c>
      <c r="DW108" s="15"/>
      <c r="DX108" s="15">
        <f t="shared" ref="DX108:DX112" si="366">DU108+DW108</f>
        <v>18000</v>
      </c>
      <c r="DZ108" s="15"/>
      <c r="EA108" s="15">
        <f t="shared" ref="EA108:EA112" si="367">DX108+DZ108</f>
        <v>18000</v>
      </c>
      <c r="EC108" s="227">
        <v>-3000</v>
      </c>
      <c r="ED108" s="15">
        <f t="shared" ref="ED108:ED112" si="368">EA108+EC108</f>
        <v>15000</v>
      </c>
      <c r="EF108" s="15"/>
      <c r="EG108" s="15">
        <f t="shared" ref="EG108:EG112" si="369">ED108+EF108</f>
        <v>15000</v>
      </c>
      <c r="EI108" s="15">
        <v>14930</v>
      </c>
      <c r="EK108" s="15">
        <v>0</v>
      </c>
      <c r="EM108" s="15"/>
      <c r="EN108" s="15">
        <f t="shared" ref="EN108:EN112" si="370">EK108+EM108</f>
        <v>0</v>
      </c>
      <c r="EP108" s="15"/>
      <c r="EQ108" s="15">
        <f t="shared" si="325"/>
        <v>0</v>
      </c>
      <c r="ES108" s="15"/>
      <c r="ET108" s="15">
        <f t="shared" si="326"/>
        <v>0</v>
      </c>
      <c r="EW108" s="15">
        <f t="shared" si="327"/>
        <v>0</v>
      </c>
      <c r="EZ108" s="15">
        <f t="shared" si="328"/>
        <v>0</v>
      </c>
      <c r="FC108" s="15">
        <f t="shared" si="329"/>
        <v>0</v>
      </c>
      <c r="FF108" s="15">
        <f t="shared" si="330"/>
        <v>0</v>
      </c>
      <c r="FI108" s="15">
        <f t="shared" si="331"/>
        <v>0</v>
      </c>
      <c r="FL108" s="15">
        <f t="shared" si="332"/>
        <v>0</v>
      </c>
      <c r="FO108" s="15">
        <f t="shared" si="333"/>
        <v>0</v>
      </c>
      <c r="FR108" s="15">
        <v>0</v>
      </c>
      <c r="FZ108" s="15">
        <f t="shared" si="334"/>
        <v>0</v>
      </c>
      <c r="GB108" s="15"/>
      <c r="GC108" s="15">
        <f t="shared" si="335"/>
        <v>0</v>
      </c>
      <c r="GE108" s="15"/>
      <c r="GF108" s="15">
        <f t="shared" si="336"/>
        <v>0</v>
      </c>
      <c r="GH108" s="15"/>
      <c r="GI108" s="15">
        <f t="shared" si="337"/>
        <v>0</v>
      </c>
      <c r="GK108" s="15"/>
      <c r="GL108" s="15">
        <f t="shared" si="338"/>
        <v>0</v>
      </c>
      <c r="GN108" s="15"/>
      <c r="GO108" s="15">
        <f t="shared" si="339"/>
        <v>0</v>
      </c>
      <c r="GQ108" s="15"/>
      <c r="GR108" s="15">
        <f t="shared" si="340"/>
        <v>0</v>
      </c>
      <c r="GT108" s="15"/>
      <c r="GU108" s="15">
        <f t="shared" si="341"/>
        <v>0</v>
      </c>
      <c r="GW108" s="15"/>
      <c r="GX108" s="15">
        <f t="shared" si="342"/>
        <v>0</v>
      </c>
      <c r="GZ108" s="15"/>
      <c r="HA108" s="189">
        <f t="shared" si="343"/>
        <v>0</v>
      </c>
      <c r="HE108" s="15">
        <v>0</v>
      </c>
    </row>
    <row r="109" spans="1:214" outlineLevel="1" collapsed="1">
      <c r="A109" s="1" t="s">
        <v>165</v>
      </c>
      <c r="B109" s="1" t="s">
        <v>146</v>
      </c>
      <c r="C109" s="4" t="s">
        <v>147</v>
      </c>
      <c r="D109" s="43">
        <v>5000</v>
      </c>
      <c r="E109" s="34">
        <v>187.34</v>
      </c>
      <c r="F109" s="43">
        <v>17000</v>
      </c>
      <c r="G109" s="34">
        <v>55.1</v>
      </c>
      <c r="H109" s="46">
        <v>9367</v>
      </c>
      <c r="I109" s="36">
        <v>9367</v>
      </c>
      <c r="J109" s="14"/>
      <c r="L109" s="118">
        <v>10000</v>
      </c>
      <c r="M109" s="17">
        <f t="shared" ref="M109" si="371">L109/F109-1</f>
        <v>-0.41176470588235292</v>
      </c>
      <c r="N109" s="17">
        <f t="shared" ref="N109" si="372">L109/I109-1</f>
        <v>6.7577666275221437E-2</v>
      </c>
      <c r="Q109" s="118">
        <v>10000</v>
      </c>
      <c r="R109" s="15">
        <v>6942</v>
      </c>
      <c r="S109" s="118">
        <v>9000</v>
      </c>
      <c r="T109" s="15">
        <f>S109-Q109</f>
        <v>-1000</v>
      </c>
      <c r="U109" s="16">
        <f>S109/Q109-1</f>
        <v>-9.9999999999999978E-2</v>
      </c>
      <c r="Y109" s="118">
        <v>14000</v>
      </c>
      <c r="AA109" s="118">
        <v>14000</v>
      </c>
      <c r="AB109" s="185">
        <f t="shared" ref="AB109:AB113" si="373">AA109-Y109</f>
        <v>0</v>
      </c>
      <c r="AC109" s="187">
        <f t="shared" ref="AC109:AC113" si="374">AA109-Y109</f>
        <v>0</v>
      </c>
      <c r="AD109" s="187"/>
      <c r="AE109" s="118">
        <v>14000</v>
      </c>
      <c r="AF109" s="182"/>
      <c r="AH109" s="15">
        <v>12055.81</v>
      </c>
      <c r="AI109" s="17">
        <f t="shared" ref="AI109:AI111" si="375">AH109/AE109</f>
        <v>0.86112928571428571</v>
      </c>
      <c r="AK109" s="118">
        <v>10000</v>
      </c>
      <c r="AS109" s="15">
        <f t="shared" ref="AS109:AS113" si="376">AR109+AK109</f>
        <v>10000</v>
      </c>
      <c r="AV109" s="15">
        <f t="shared" ref="AV109:AV111" si="377">AS109+AU109</f>
        <v>10000</v>
      </c>
      <c r="AX109" s="15"/>
      <c r="AY109" s="15">
        <f t="shared" ref="AY109:AY111" si="378">AV109+AX109</f>
        <v>10000</v>
      </c>
      <c r="BB109" s="15">
        <f t="shared" si="344"/>
        <v>10000</v>
      </c>
      <c r="BD109" s="15"/>
      <c r="BE109" s="15">
        <f t="shared" si="345"/>
        <v>10000</v>
      </c>
      <c r="BG109" s="15"/>
      <c r="BH109" s="15">
        <f t="shared" si="346"/>
        <v>10000</v>
      </c>
      <c r="BJ109" s="15">
        <v>9436.83</v>
      </c>
      <c r="BK109" s="235">
        <f t="shared" si="347"/>
        <v>0.94368299999999994</v>
      </c>
      <c r="BM109" s="15">
        <v>0</v>
      </c>
      <c r="BN109" s="235">
        <f t="shared" si="348"/>
        <v>0</v>
      </c>
      <c r="BO109" s="235">
        <f t="shared" si="349"/>
        <v>0</v>
      </c>
      <c r="BQ109" s="15"/>
      <c r="BR109" s="15">
        <f t="shared" si="350"/>
        <v>0</v>
      </c>
      <c r="BT109" s="15"/>
      <c r="BU109" s="15">
        <f>BR109+BT109</f>
        <v>0</v>
      </c>
      <c r="BW109" s="15"/>
      <c r="BX109" s="15">
        <f>BU109+BW109</f>
        <v>0</v>
      </c>
      <c r="BZ109" s="227">
        <f>21000</f>
        <v>21000</v>
      </c>
      <c r="CA109" s="15">
        <f t="shared" si="351"/>
        <v>21000</v>
      </c>
      <c r="CC109" s="15"/>
      <c r="CD109" s="15">
        <f t="shared" si="352"/>
        <v>21000</v>
      </c>
      <c r="CF109" s="15"/>
      <c r="CG109" s="15">
        <f t="shared" si="353"/>
        <v>21000</v>
      </c>
      <c r="CI109" s="15"/>
      <c r="CJ109" s="15">
        <f t="shared" si="354"/>
        <v>21000</v>
      </c>
      <c r="CM109" s="15">
        <f t="shared" si="355"/>
        <v>21000</v>
      </c>
      <c r="CO109" s="15">
        <v>-15000</v>
      </c>
      <c r="CP109" s="15">
        <f t="shared" si="356"/>
        <v>6000</v>
      </c>
      <c r="CS109" s="15">
        <f t="shared" si="357"/>
        <v>6000</v>
      </c>
      <c r="CU109" s="227">
        <v>-1000</v>
      </c>
      <c r="CV109" s="15">
        <f t="shared" si="358"/>
        <v>5000</v>
      </c>
      <c r="CX109" s="227"/>
      <c r="CY109" s="15">
        <f t="shared" si="359"/>
        <v>5000</v>
      </c>
      <c r="DA109" s="15">
        <v>4718.83</v>
      </c>
      <c r="DE109" s="15"/>
      <c r="DF109" s="15">
        <f t="shared" si="360"/>
        <v>0</v>
      </c>
      <c r="DH109" s="15"/>
      <c r="DI109" s="15">
        <f t="shared" si="361"/>
        <v>0</v>
      </c>
      <c r="DK109" s="15"/>
      <c r="DL109" s="15">
        <f t="shared" si="362"/>
        <v>0</v>
      </c>
      <c r="DN109" s="15"/>
      <c r="DO109" s="15">
        <f t="shared" si="363"/>
        <v>0</v>
      </c>
      <c r="DQ109" s="15"/>
      <c r="DR109" s="15">
        <f t="shared" si="364"/>
        <v>0</v>
      </c>
      <c r="DT109" s="227">
        <v>70000</v>
      </c>
      <c r="DU109" s="15">
        <f t="shared" si="365"/>
        <v>70000</v>
      </c>
      <c r="DW109" s="15"/>
      <c r="DX109" s="15">
        <f t="shared" si="366"/>
        <v>70000</v>
      </c>
      <c r="DZ109" s="15"/>
      <c r="EA109" s="15">
        <f t="shared" si="367"/>
        <v>70000</v>
      </c>
      <c r="EC109" s="227">
        <v>-12000</v>
      </c>
      <c r="ED109" s="15">
        <f t="shared" si="368"/>
        <v>58000</v>
      </c>
      <c r="EF109" s="15"/>
      <c r="EG109" s="15">
        <f t="shared" si="369"/>
        <v>58000</v>
      </c>
      <c r="EI109" s="15">
        <v>57978.76</v>
      </c>
      <c r="EK109" s="15">
        <v>5000</v>
      </c>
      <c r="EM109" s="15"/>
      <c r="EN109" s="15">
        <f t="shared" si="370"/>
        <v>5000</v>
      </c>
      <c r="EP109" s="15"/>
      <c r="EQ109" s="15">
        <f t="shared" si="325"/>
        <v>5000</v>
      </c>
      <c r="ES109" s="15"/>
      <c r="ET109" s="15">
        <f t="shared" si="326"/>
        <v>5000</v>
      </c>
      <c r="EW109" s="15">
        <f t="shared" si="327"/>
        <v>5000</v>
      </c>
      <c r="EZ109" s="15">
        <f t="shared" si="328"/>
        <v>5000</v>
      </c>
      <c r="FC109" s="15">
        <f t="shared" si="329"/>
        <v>5000</v>
      </c>
      <c r="FF109" s="15">
        <f t="shared" si="330"/>
        <v>5000</v>
      </c>
      <c r="FI109" s="15">
        <f t="shared" si="331"/>
        <v>5000</v>
      </c>
      <c r="FL109" s="15">
        <f t="shared" si="332"/>
        <v>5000</v>
      </c>
      <c r="FO109" s="15">
        <f t="shared" si="333"/>
        <v>5000</v>
      </c>
      <c r="FR109" s="15">
        <v>5000</v>
      </c>
      <c r="FT109" s="15">
        <v>3872.95</v>
      </c>
      <c r="FW109" s="235">
        <f t="shared" ref="FW109:FW114" si="379">FV109/FT109</f>
        <v>0</v>
      </c>
      <c r="FZ109" s="15">
        <f t="shared" si="334"/>
        <v>0</v>
      </c>
      <c r="GB109" s="15"/>
      <c r="GC109" s="15">
        <f t="shared" si="335"/>
        <v>0</v>
      </c>
      <c r="GE109" s="15"/>
      <c r="GF109" s="15">
        <f t="shared" si="336"/>
        <v>0</v>
      </c>
      <c r="GH109" s="227">
        <v>3600</v>
      </c>
      <c r="GI109" s="15">
        <f t="shared" si="337"/>
        <v>3600</v>
      </c>
      <c r="GK109" s="227">
        <v>500</v>
      </c>
      <c r="GL109" s="15">
        <f t="shared" si="338"/>
        <v>4100</v>
      </c>
      <c r="GN109" s="15"/>
      <c r="GO109" s="15">
        <f t="shared" si="339"/>
        <v>4100</v>
      </c>
      <c r="GQ109" s="15"/>
      <c r="GR109" s="15">
        <f t="shared" si="340"/>
        <v>4100</v>
      </c>
      <c r="GT109" s="15"/>
      <c r="GU109" s="15">
        <f t="shared" si="341"/>
        <v>4100</v>
      </c>
      <c r="GW109" s="15"/>
      <c r="GX109" s="15">
        <f t="shared" si="342"/>
        <v>4100</v>
      </c>
      <c r="GZ109" s="15"/>
      <c r="HA109" s="189">
        <f t="shared" si="343"/>
        <v>4100</v>
      </c>
      <c r="HC109" s="189">
        <v>3804.43</v>
      </c>
      <c r="HE109" s="15">
        <v>0</v>
      </c>
      <c r="HF109" s="235">
        <f t="shared" ref="HF109:HF114" si="380">HE109/HC109</f>
        <v>0</v>
      </c>
    </row>
    <row r="110" spans="1:214" outlineLevel="1">
      <c r="A110" s="1" t="s">
        <v>165</v>
      </c>
      <c r="B110" s="1" t="s">
        <v>157</v>
      </c>
      <c r="C110" s="4" t="s">
        <v>158</v>
      </c>
      <c r="D110" s="43">
        <v>1400</v>
      </c>
      <c r="E110" s="34">
        <v>967.14</v>
      </c>
      <c r="F110" s="43">
        <v>27232</v>
      </c>
      <c r="G110" s="34">
        <v>49.72</v>
      </c>
      <c r="H110" s="46">
        <v>13540</v>
      </c>
      <c r="I110" s="36">
        <v>13540</v>
      </c>
      <c r="J110" s="14"/>
      <c r="K110" t="s">
        <v>332</v>
      </c>
      <c r="L110" s="118">
        <v>15000</v>
      </c>
      <c r="M110" s="17">
        <f t="shared" ref="M110:M128" si="381">L110/F110-1</f>
        <v>-0.44917743830787304</v>
      </c>
      <c r="N110" s="17">
        <f t="shared" ref="N110:N128" si="382">L110/I110-1</f>
        <v>0.10782865583456425</v>
      </c>
      <c r="Q110" s="118">
        <v>15000</v>
      </c>
      <c r="R110" s="15">
        <v>1548</v>
      </c>
      <c r="S110" s="118">
        <v>13000</v>
      </c>
      <c r="T110" s="15">
        <f>S110-Q110</f>
        <v>-2000</v>
      </c>
      <c r="U110" s="16">
        <f>S110/Q110-1</f>
        <v>-0.1333333333333333</v>
      </c>
      <c r="Y110" s="118">
        <v>13000</v>
      </c>
      <c r="AA110" s="118">
        <v>13000</v>
      </c>
      <c r="AB110" s="185">
        <f t="shared" si="373"/>
        <v>0</v>
      </c>
      <c r="AC110" s="187">
        <f t="shared" si="374"/>
        <v>0</v>
      </c>
      <c r="AD110" s="187"/>
      <c r="AE110" s="118">
        <v>20700</v>
      </c>
      <c r="AF110" s="182">
        <f t="shared" ref="AF110:AF153" si="383">AE110-AA110</f>
        <v>7700</v>
      </c>
      <c r="AH110" s="15">
        <v>20687</v>
      </c>
      <c r="AI110" s="17">
        <f t="shared" si="375"/>
        <v>0.99937198067632849</v>
      </c>
      <c r="AK110" s="118">
        <v>20000</v>
      </c>
      <c r="AS110" s="15">
        <f t="shared" si="376"/>
        <v>20000</v>
      </c>
      <c r="AV110" s="15">
        <f t="shared" si="377"/>
        <v>20000</v>
      </c>
      <c r="AX110" s="15"/>
      <c r="AY110" s="15">
        <f t="shared" si="378"/>
        <v>20000</v>
      </c>
      <c r="BB110" s="15">
        <f t="shared" si="344"/>
        <v>20000</v>
      </c>
      <c r="BD110" s="15"/>
      <c r="BE110" s="15">
        <f t="shared" si="345"/>
        <v>20000</v>
      </c>
      <c r="BG110" s="15">
        <v>-2000</v>
      </c>
      <c r="BH110" s="15">
        <f t="shared" si="346"/>
        <v>18000</v>
      </c>
      <c r="BJ110" s="15">
        <v>17344</v>
      </c>
      <c r="BK110" s="235">
        <f t="shared" si="347"/>
        <v>0.96355555555555561</v>
      </c>
      <c r="BM110" s="15">
        <v>15000</v>
      </c>
      <c r="BN110" s="235">
        <f t="shared" si="348"/>
        <v>0.86485239852398521</v>
      </c>
      <c r="BO110" s="235">
        <f t="shared" si="349"/>
        <v>0.83333333333333337</v>
      </c>
      <c r="BQ110" s="15"/>
      <c r="BR110" s="15">
        <f t="shared" si="350"/>
        <v>15000</v>
      </c>
      <c r="BT110" s="15"/>
      <c r="BU110" s="15">
        <f>BR110+BT110</f>
        <v>15000</v>
      </c>
      <c r="BW110" s="15"/>
      <c r="BX110" s="15">
        <f>BU110+BW110</f>
        <v>15000</v>
      </c>
      <c r="BZ110" s="15"/>
      <c r="CA110" s="15">
        <f t="shared" si="351"/>
        <v>15000</v>
      </c>
      <c r="CC110" s="15"/>
      <c r="CD110" s="15">
        <f t="shared" si="352"/>
        <v>15000</v>
      </c>
      <c r="CF110" s="15"/>
      <c r="CG110" s="15">
        <f t="shared" si="353"/>
        <v>15000</v>
      </c>
      <c r="CI110" s="15"/>
      <c r="CJ110" s="15">
        <f t="shared" si="354"/>
        <v>15000</v>
      </c>
      <c r="CM110" s="15">
        <f t="shared" si="355"/>
        <v>15000</v>
      </c>
      <c r="CO110" s="15">
        <v>-2000</v>
      </c>
      <c r="CP110" s="15">
        <f t="shared" si="356"/>
        <v>13000</v>
      </c>
      <c r="CS110" s="15">
        <f t="shared" si="357"/>
        <v>13000</v>
      </c>
      <c r="CU110" s="227">
        <v>-4500</v>
      </c>
      <c r="CV110" s="15">
        <f t="shared" si="358"/>
        <v>8500</v>
      </c>
      <c r="CX110" s="227"/>
      <c r="CY110" s="15">
        <f t="shared" si="359"/>
        <v>8500</v>
      </c>
      <c r="DA110" s="15">
        <v>8116</v>
      </c>
      <c r="DC110" s="15">
        <v>8500</v>
      </c>
      <c r="DE110" s="15"/>
      <c r="DF110" s="15">
        <f t="shared" si="360"/>
        <v>8500</v>
      </c>
      <c r="DH110" s="15"/>
      <c r="DI110" s="15">
        <f t="shared" si="361"/>
        <v>8500</v>
      </c>
      <c r="DK110" s="15"/>
      <c r="DL110" s="15">
        <f t="shared" si="362"/>
        <v>8500</v>
      </c>
      <c r="DN110" s="15"/>
      <c r="DO110" s="15">
        <f t="shared" si="363"/>
        <v>8500</v>
      </c>
      <c r="DQ110" s="15"/>
      <c r="DR110" s="15">
        <f t="shared" si="364"/>
        <v>8500</v>
      </c>
      <c r="DT110" s="227">
        <v>3000</v>
      </c>
      <c r="DU110" s="15">
        <f t="shared" si="365"/>
        <v>11500</v>
      </c>
      <c r="DW110" s="15"/>
      <c r="DX110" s="15">
        <f t="shared" si="366"/>
        <v>11500</v>
      </c>
      <c r="DZ110" s="15"/>
      <c r="EA110" s="15">
        <f t="shared" si="367"/>
        <v>11500</v>
      </c>
      <c r="EC110" s="227">
        <v>5800</v>
      </c>
      <c r="ED110" s="15">
        <f t="shared" si="368"/>
        <v>17300</v>
      </c>
      <c r="EF110" s="227">
        <v>3000</v>
      </c>
      <c r="EG110" s="15">
        <f t="shared" si="369"/>
        <v>20300</v>
      </c>
      <c r="EI110" s="15">
        <v>20291</v>
      </c>
      <c r="EK110" s="15">
        <v>21000</v>
      </c>
      <c r="EM110" s="15"/>
      <c r="EN110" s="15">
        <f t="shared" si="370"/>
        <v>21000</v>
      </c>
      <c r="EP110" s="15"/>
      <c r="EQ110" s="15">
        <f t="shared" si="325"/>
        <v>21000</v>
      </c>
      <c r="ES110" s="15"/>
      <c r="ET110" s="15">
        <f t="shared" si="326"/>
        <v>21000</v>
      </c>
      <c r="EW110" s="15">
        <f t="shared" si="327"/>
        <v>21000</v>
      </c>
      <c r="EZ110" s="15">
        <f t="shared" si="328"/>
        <v>21000</v>
      </c>
      <c r="FC110" s="15">
        <f t="shared" si="329"/>
        <v>21000</v>
      </c>
      <c r="FE110" s="227">
        <v>650</v>
      </c>
      <c r="FF110" s="15">
        <f t="shared" si="330"/>
        <v>21650</v>
      </c>
      <c r="FI110" s="15">
        <f t="shared" si="331"/>
        <v>21650</v>
      </c>
      <c r="FK110" s="227">
        <v>10000</v>
      </c>
      <c r="FL110" s="15">
        <f t="shared" si="332"/>
        <v>31650</v>
      </c>
      <c r="FO110" s="15">
        <f t="shared" si="333"/>
        <v>31650</v>
      </c>
      <c r="FR110" s="15">
        <v>31650</v>
      </c>
      <c r="FT110" s="15">
        <v>21652</v>
      </c>
      <c r="FV110" s="15">
        <v>25000</v>
      </c>
      <c r="FW110" s="235">
        <f t="shared" si="379"/>
        <v>1.1546277480140403</v>
      </c>
      <c r="FZ110" s="15">
        <f t="shared" si="334"/>
        <v>25000</v>
      </c>
      <c r="GB110" s="15"/>
      <c r="GC110" s="15">
        <f t="shared" si="335"/>
        <v>25000</v>
      </c>
      <c r="GE110" s="15"/>
      <c r="GF110" s="15">
        <f t="shared" si="336"/>
        <v>25000</v>
      </c>
      <c r="GH110" s="15"/>
      <c r="GI110" s="15">
        <f t="shared" si="337"/>
        <v>25000</v>
      </c>
      <c r="GK110" s="15"/>
      <c r="GL110" s="15">
        <f t="shared" si="338"/>
        <v>25000</v>
      </c>
      <c r="GN110" s="15"/>
      <c r="GO110" s="15">
        <f t="shared" si="339"/>
        <v>25000</v>
      </c>
      <c r="GQ110" s="15"/>
      <c r="GR110" s="15">
        <f t="shared" si="340"/>
        <v>25000</v>
      </c>
      <c r="GT110" s="15"/>
      <c r="GU110" s="15">
        <f t="shared" si="341"/>
        <v>25000</v>
      </c>
      <c r="GW110" s="227">
        <v>6600</v>
      </c>
      <c r="GX110" s="15">
        <f t="shared" si="342"/>
        <v>31600</v>
      </c>
      <c r="GZ110" s="227">
        <v>27000</v>
      </c>
      <c r="HA110" s="189">
        <f t="shared" si="343"/>
        <v>58600</v>
      </c>
      <c r="HC110" s="189">
        <v>58461</v>
      </c>
      <c r="HE110" s="15">
        <v>25000</v>
      </c>
      <c r="HF110" s="235">
        <f t="shared" si="380"/>
        <v>0.42763551769555774</v>
      </c>
    </row>
    <row r="111" spans="1:214" outlineLevel="1">
      <c r="A111" s="1" t="s">
        <v>165</v>
      </c>
      <c r="B111" s="1" t="s">
        <v>161</v>
      </c>
      <c r="C111" s="4" t="s">
        <v>162</v>
      </c>
      <c r="D111" s="43">
        <v>5000</v>
      </c>
      <c r="E111" s="34">
        <v>93.68</v>
      </c>
      <c r="F111" s="43">
        <v>5000</v>
      </c>
      <c r="G111" s="34">
        <v>93.68</v>
      </c>
      <c r="H111" s="46">
        <v>4684</v>
      </c>
      <c r="I111" s="36"/>
      <c r="J111" s="14"/>
      <c r="K111" t="s">
        <v>332</v>
      </c>
      <c r="L111" s="118">
        <v>5000</v>
      </c>
      <c r="M111" s="17">
        <f t="shared" si="381"/>
        <v>0</v>
      </c>
      <c r="N111" s="17" t="e">
        <f t="shared" si="382"/>
        <v>#DIV/0!</v>
      </c>
      <c r="Q111" s="118">
        <v>5000</v>
      </c>
      <c r="R111" s="15">
        <v>2718</v>
      </c>
      <c r="S111" s="118">
        <v>4000</v>
      </c>
      <c r="T111" s="15">
        <f>S111-Q111</f>
        <v>-1000</v>
      </c>
      <c r="U111" s="16">
        <f>S111/Q111-1</f>
        <v>-0.19999999999999996</v>
      </c>
      <c r="Y111" s="118">
        <v>5700</v>
      </c>
      <c r="AA111" s="118">
        <v>5700</v>
      </c>
      <c r="AB111" s="185">
        <f t="shared" si="373"/>
        <v>0</v>
      </c>
      <c r="AC111" s="187">
        <f t="shared" si="374"/>
        <v>0</v>
      </c>
      <c r="AD111" s="187"/>
      <c r="AE111" s="118">
        <v>5700</v>
      </c>
      <c r="AF111" s="182"/>
      <c r="AH111" s="15">
        <v>5116</v>
      </c>
      <c r="AI111" s="17">
        <f t="shared" si="375"/>
        <v>0.89754385964912275</v>
      </c>
      <c r="AK111" s="118">
        <v>6000</v>
      </c>
      <c r="AS111" s="15">
        <f t="shared" si="376"/>
        <v>6000</v>
      </c>
      <c r="AV111" s="15">
        <f t="shared" si="377"/>
        <v>6000</v>
      </c>
      <c r="AX111" s="15"/>
      <c r="AY111" s="15">
        <f t="shared" si="378"/>
        <v>6000</v>
      </c>
      <c r="BB111" s="15">
        <f t="shared" si="344"/>
        <v>6000</v>
      </c>
      <c r="BD111" s="15">
        <v>3000</v>
      </c>
      <c r="BE111" s="15">
        <f t="shared" si="345"/>
        <v>9000</v>
      </c>
      <c r="BG111" s="15"/>
      <c r="BH111" s="15">
        <f t="shared" si="346"/>
        <v>9000</v>
      </c>
      <c r="BJ111" s="15">
        <v>7784</v>
      </c>
      <c r="BK111" s="235">
        <f t="shared" si="347"/>
        <v>0.86488888888888893</v>
      </c>
      <c r="BM111" s="196">
        <f>12*1100</f>
        <v>13200</v>
      </c>
      <c r="BN111" s="235">
        <f t="shared" si="348"/>
        <v>1.6957862281603289</v>
      </c>
      <c r="BO111" s="235">
        <f t="shared" si="349"/>
        <v>1.4666666666666666</v>
      </c>
      <c r="BQ111" s="15"/>
      <c r="BR111" s="15">
        <f t="shared" si="350"/>
        <v>13200</v>
      </c>
      <c r="BT111" s="15"/>
      <c r="BU111" s="15">
        <f>BR111+BT111</f>
        <v>13200</v>
      </c>
      <c r="BW111" s="15"/>
      <c r="BX111" s="15">
        <f>BU111+BW111</f>
        <v>13200</v>
      </c>
      <c r="BZ111" s="15"/>
      <c r="CA111" s="15">
        <f t="shared" si="351"/>
        <v>13200</v>
      </c>
      <c r="CC111" s="15"/>
      <c r="CD111" s="15">
        <f t="shared" si="352"/>
        <v>13200</v>
      </c>
      <c r="CF111" s="15"/>
      <c r="CG111" s="15">
        <f t="shared" si="353"/>
        <v>13200</v>
      </c>
      <c r="CI111" s="15"/>
      <c r="CJ111" s="15">
        <f t="shared" si="354"/>
        <v>13200</v>
      </c>
      <c r="CL111" s="15">
        <v>500</v>
      </c>
      <c r="CM111" s="15">
        <f t="shared" si="355"/>
        <v>13700</v>
      </c>
      <c r="CO111" s="15">
        <v>2000</v>
      </c>
      <c r="CP111" s="15">
        <f t="shared" si="356"/>
        <v>15700</v>
      </c>
      <c r="CS111" s="15">
        <f t="shared" si="357"/>
        <v>15700</v>
      </c>
      <c r="CU111" s="227">
        <v>1000</v>
      </c>
      <c r="CV111" s="15">
        <f t="shared" si="358"/>
        <v>16700</v>
      </c>
      <c r="CX111" s="227"/>
      <c r="CY111" s="15">
        <f t="shared" si="359"/>
        <v>16700</v>
      </c>
      <c r="DA111" s="15">
        <v>16554.59</v>
      </c>
      <c r="DC111" s="15">
        <v>17000</v>
      </c>
      <c r="DE111" s="15"/>
      <c r="DF111" s="15">
        <f t="shared" si="360"/>
        <v>17000</v>
      </c>
      <c r="DH111" s="15"/>
      <c r="DI111" s="15">
        <f t="shared" si="361"/>
        <v>17000</v>
      </c>
      <c r="DK111" s="15"/>
      <c r="DL111" s="15">
        <f t="shared" si="362"/>
        <v>17000</v>
      </c>
      <c r="DN111" s="15"/>
      <c r="DO111" s="15">
        <f t="shared" si="363"/>
        <v>17000</v>
      </c>
      <c r="DQ111" s="15"/>
      <c r="DR111" s="15">
        <f t="shared" si="364"/>
        <v>17000</v>
      </c>
      <c r="DT111" s="15"/>
      <c r="DU111" s="15">
        <f t="shared" si="365"/>
        <v>17000</v>
      </c>
      <c r="DW111" s="15"/>
      <c r="DX111" s="15">
        <f t="shared" si="366"/>
        <v>17000</v>
      </c>
      <c r="DZ111" s="15"/>
      <c r="EA111" s="15">
        <f t="shared" si="367"/>
        <v>17000</v>
      </c>
      <c r="EC111" s="227">
        <v>-5000</v>
      </c>
      <c r="ED111" s="15">
        <f t="shared" si="368"/>
        <v>12000</v>
      </c>
      <c r="EF111" s="227">
        <v>1000</v>
      </c>
      <c r="EG111" s="15">
        <f t="shared" si="369"/>
        <v>13000</v>
      </c>
      <c r="EI111" s="15">
        <v>12921</v>
      </c>
      <c r="EK111" s="15">
        <v>15000</v>
      </c>
      <c r="EM111" s="15"/>
      <c r="EN111" s="15">
        <f t="shared" si="370"/>
        <v>15000</v>
      </c>
      <c r="EP111" s="15"/>
      <c r="EQ111" s="15">
        <f t="shared" si="325"/>
        <v>15000</v>
      </c>
      <c r="ES111" s="15"/>
      <c r="ET111" s="15">
        <f t="shared" si="326"/>
        <v>15000</v>
      </c>
      <c r="EW111" s="15">
        <f t="shared" si="327"/>
        <v>15000</v>
      </c>
      <c r="EZ111" s="15">
        <f t="shared" si="328"/>
        <v>15000</v>
      </c>
      <c r="FC111" s="15">
        <f t="shared" si="329"/>
        <v>15000</v>
      </c>
      <c r="FF111" s="15">
        <f t="shared" si="330"/>
        <v>15000</v>
      </c>
      <c r="FI111" s="15">
        <f t="shared" si="331"/>
        <v>15000</v>
      </c>
      <c r="FK111" s="227">
        <v>-2000</v>
      </c>
      <c r="FL111" s="15">
        <f t="shared" si="332"/>
        <v>13000</v>
      </c>
      <c r="FO111" s="15">
        <f t="shared" si="333"/>
        <v>13000</v>
      </c>
      <c r="FR111" s="15">
        <v>13000</v>
      </c>
      <c r="FT111" s="15">
        <v>12763</v>
      </c>
      <c r="FV111" s="15">
        <v>14000</v>
      </c>
      <c r="FW111" s="235">
        <f t="shared" si="379"/>
        <v>1.096920786648907</v>
      </c>
      <c r="FZ111" s="15">
        <f t="shared" si="334"/>
        <v>14000</v>
      </c>
      <c r="GB111" s="15"/>
      <c r="GC111" s="15">
        <f t="shared" si="335"/>
        <v>14000</v>
      </c>
      <c r="GE111" s="15"/>
      <c r="GF111" s="15">
        <f t="shared" si="336"/>
        <v>14000</v>
      </c>
      <c r="GH111" s="15"/>
      <c r="GI111" s="15">
        <f t="shared" si="337"/>
        <v>14000</v>
      </c>
      <c r="GK111" s="15"/>
      <c r="GL111" s="15">
        <f t="shared" si="338"/>
        <v>14000</v>
      </c>
      <c r="GN111" s="15"/>
      <c r="GO111" s="15">
        <f t="shared" si="339"/>
        <v>14000</v>
      </c>
      <c r="GQ111" s="15"/>
      <c r="GR111" s="15">
        <f t="shared" si="340"/>
        <v>14000</v>
      </c>
      <c r="GT111" s="227">
        <v>5000</v>
      </c>
      <c r="GU111" s="15">
        <f t="shared" si="341"/>
        <v>19000</v>
      </c>
      <c r="GW111" s="15"/>
      <c r="GX111" s="15">
        <f t="shared" si="342"/>
        <v>19000</v>
      </c>
      <c r="GZ111" s="227">
        <v>500</v>
      </c>
      <c r="HA111" s="189">
        <f t="shared" si="343"/>
        <v>19500</v>
      </c>
      <c r="HC111" s="189">
        <v>19452.96</v>
      </c>
      <c r="HE111" s="15">
        <v>20000</v>
      </c>
      <c r="HF111" s="235">
        <f t="shared" si="380"/>
        <v>1.0281211702486408</v>
      </c>
    </row>
    <row r="112" spans="1:214" outlineLevel="1">
      <c r="A112" s="1" t="s">
        <v>165</v>
      </c>
      <c r="B112" s="1" t="s">
        <v>115</v>
      </c>
      <c r="C112" s="4" t="s">
        <v>116</v>
      </c>
      <c r="D112" s="43">
        <v>1000</v>
      </c>
      <c r="E112" s="34">
        <v>0</v>
      </c>
      <c r="F112" s="43">
        <v>1000</v>
      </c>
      <c r="G112" s="34">
        <v>0</v>
      </c>
      <c r="H112" s="46">
        <v>0</v>
      </c>
      <c r="I112" s="36">
        <v>0</v>
      </c>
      <c r="J112" s="14"/>
      <c r="M112" s="17">
        <f t="shared" si="381"/>
        <v>-1</v>
      </c>
      <c r="N112" s="17" t="e">
        <f t="shared" si="382"/>
        <v>#DIV/0!</v>
      </c>
      <c r="Y112" s="118"/>
      <c r="AB112" s="185"/>
      <c r="AC112" s="187"/>
      <c r="AD112" s="187"/>
      <c r="AF112" s="182"/>
      <c r="AH112" s="15"/>
      <c r="AS112" s="15"/>
      <c r="AX112" s="15"/>
      <c r="BD112" s="15"/>
      <c r="BG112" s="15"/>
      <c r="BZ112" s="227">
        <v>4000</v>
      </c>
      <c r="CA112" s="15">
        <f t="shared" si="351"/>
        <v>4000</v>
      </c>
      <c r="CC112" s="15"/>
      <c r="CD112" s="15">
        <f t="shared" si="352"/>
        <v>4000</v>
      </c>
      <c r="CF112" s="15"/>
      <c r="CG112" s="15">
        <f t="shared" si="353"/>
        <v>4000</v>
      </c>
      <c r="CI112" s="15"/>
      <c r="CJ112" s="15">
        <f t="shared" si="354"/>
        <v>4000</v>
      </c>
      <c r="CM112" s="15">
        <f t="shared" si="355"/>
        <v>4000</v>
      </c>
      <c r="CO112" s="15">
        <v>-4000</v>
      </c>
      <c r="CP112" s="15">
        <f t="shared" si="356"/>
        <v>0</v>
      </c>
      <c r="CS112" s="15">
        <f t="shared" si="357"/>
        <v>0</v>
      </c>
      <c r="CV112" s="15">
        <f t="shared" si="358"/>
        <v>0</v>
      </c>
      <c r="CY112" s="15">
        <f t="shared" si="359"/>
        <v>0</v>
      </c>
      <c r="DE112" s="15"/>
      <c r="DH112" s="15"/>
      <c r="DK112" s="15"/>
      <c r="DN112" s="15"/>
      <c r="DQ112" s="227">
        <v>27000</v>
      </c>
      <c r="DR112" s="15">
        <f t="shared" si="364"/>
        <v>27000</v>
      </c>
      <c r="DT112" s="227">
        <v>5000</v>
      </c>
      <c r="DU112" s="15">
        <f t="shared" si="365"/>
        <v>32000</v>
      </c>
      <c r="DW112" s="15"/>
      <c r="DX112" s="15">
        <f t="shared" si="366"/>
        <v>32000</v>
      </c>
      <c r="DZ112" s="227">
        <v>6000</v>
      </c>
      <c r="EA112" s="15">
        <f t="shared" si="367"/>
        <v>38000</v>
      </c>
      <c r="EC112" s="15"/>
      <c r="ED112" s="15">
        <f t="shared" si="368"/>
        <v>38000</v>
      </c>
      <c r="EF112" s="15"/>
      <c r="EG112" s="15">
        <f t="shared" si="369"/>
        <v>38000</v>
      </c>
      <c r="EI112" s="15">
        <v>37628.58</v>
      </c>
      <c r="EK112" s="15">
        <v>0</v>
      </c>
      <c r="EM112" s="227">
        <v>7300</v>
      </c>
      <c r="EN112" s="15">
        <f t="shared" si="370"/>
        <v>7300</v>
      </c>
      <c r="EP112" s="15"/>
      <c r="EQ112" s="15">
        <f t="shared" si="325"/>
        <v>7300</v>
      </c>
      <c r="ES112" s="15"/>
      <c r="ET112" s="15">
        <f t="shared" si="326"/>
        <v>7300</v>
      </c>
      <c r="EW112" s="15">
        <f t="shared" si="327"/>
        <v>7300</v>
      </c>
      <c r="EZ112" s="15">
        <f t="shared" si="328"/>
        <v>7300</v>
      </c>
      <c r="FB112" s="227">
        <v>3000</v>
      </c>
      <c r="FC112" s="15">
        <f t="shared" si="329"/>
        <v>10300</v>
      </c>
      <c r="FF112" s="15">
        <f t="shared" si="330"/>
        <v>10300</v>
      </c>
      <c r="FI112" s="15">
        <f t="shared" si="331"/>
        <v>10300</v>
      </c>
      <c r="FL112" s="15">
        <f t="shared" si="332"/>
        <v>10300</v>
      </c>
      <c r="FO112" s="15">
        <f t="shared" si="333"/>
        <v>10300</v>
      </c>
      <c r="FR112" s="15">
        <v>10300</v>
      </c>
      <c r="FT112" s="15">
        <v>7258.79</v>
      </c>
      <c r="FV112" s="15">
        <v>10000</v>
      </c>
      <c r="FW112" s="235">
        <f t="shared" si="379"/>
        <v>1.3776400749987256</v>
      </c>
      <c r="FZ112" s="15">
        <f t="shared" si="334"/>
        <v>10000</v>
      </c>
      <c r="GB112" s="15"/>
      <c r="GC112" s="15">
        <f t="shared" si="335"/>
        <v>10000</v>
      </c>
      <c r="GE112" s="15"/>
      <c r="GF112" s="15">
        <f t="shared" si="336"/>
        <v>10000</v>
      </c>
      <c r="GH112" s="15"/>
      <c r="GI112" s="15">
        <f t="shared" si="337"/>
        <v>10000</v>
      </c>
      <c r="GK112" s="15"/>
      <c r="GL112" s="15">
        <f t="shared" si="338"/>
        <v>10000</v>
      </c>
      <c r="GN112" s="15"/>
      <c r="GO112" s="15">
        <f t="shared" si="339"/>
        <v>10000</v>
      </c>
      <c r="GQ112" s="15"/>
      <c r="GR112" s="15">
        <f t="shared" si="340"/>
        <v>10000</v>
      </c>
      <c r="GT112" s="15"/>
      <c r="GU112" s="15">
        <f t="shared" si="341"/>
        <v>10000</v>
      </c>
      <c r="GW112" s="227">
        <v>-10000</v>
      </c>
      <c r="GX112" s="15">
        <f t="shared" si="342"/>
        <v>0</v>
      </c>
      <c r="GZ112" s="15"/>
      <c r="HA112" s="189">
        <f t="shared" si="343"/>
        <v>0</v>
      </c>
      <c r="HE112" s="15">
        <v>0</v>
      </c>
      <c r="HF112" s="235" t="e">
        <f t="shared" si="380"/>
        <v>#DIV/0!</v>
      </c>
    </row>
    <row r="113" spans="1:214" outlineLevel="1">
      <c r="A113" s="1" t="s">
        <v>165</v>
      </c>
      <c r="B113" s="1" t="s">
        <v>117</v>
      </c>
      <c r="C113" s="4" t="s">
        <v>118</v>
      </c>
      <c r="D113" s="43">
        <v>2000</v>
      </c>
      <c r="E113" s="34">
        <v>36.049999999999997</v>
      </c>
      <c r="F113" s="43">
        <v>2000</v>
      </c>
      <c r="G113" s="34">
        <v>36.049999999999997</v>
      </c>
      <c r="H113" s="46">
        <v>721</v>
      </c>
      <c r="I113" s="36">
        <v>721</v>
      </c>
      <c r="J113" s="14"/>
      <c r="L113" s="118">
        <v>1000</v>
      </c>
      <c r="M113" s="17">
        <f t="shared" si="381"/>
        <v>-0.5</v>
      </c>
      <c r="N113" s="17">
        <f t="shared" si="382"/>
        <v>0.38696255201109575</v>
      </c>
      <c r="Q113" s="118">
        <v>1000</v>
      </c>
      <c r="R113" s="15">
        <v>349</v>
      </c>
      <c r="S113" s="118">
        <v>1000</v>
      </c>
      <c r="T113" s="15">
        <f>S113-Q113</f>
        <v>0</v>
      </c>
      <c r="U113" s="16">
        <f>S113/Q113-1</f>
        <v>0</v>
      </c>
      <c r="Y113" s="118">
        <v>1000</v>
      </c>
      <c r="AA113" s="118">
        <v>3000</v>
      </c>
      <c r="AB113" s="185">
        <f t="shared" si="373"/>
        <v>2000</v>
      </c>
      <c r="AC113" s="187">
        <f t="shared" si="374"/>
        <v>2000</v>
      </c>
      <c r="AD113" s="187"/>
      <c r="AE113" s="118">
        <v>11000</v>
      </c>
      <c r="AF113" s="182">
        <f t="shared" si="383"/>
        <v>8000</v>
      </c>
      <c r="AH113" s="15">
        <v>10923</v>
      </c>
      <c r="AI113" s="17">
        <f t="shared" ref="AI113" si="384">AH113/AE113</f>
        <v>0.99299999999999999</v>
      </c>
      <c r="AK113" s="118">
        <v>15000</v>
      </c>
      <c r="AS113" s="15">
        <f t="shared" si="376"/>
        <v>15000</v>
      </c>
      <c r="AV113" s="15">
        <f>AS113+AU113</f>
        <v>15000</v>
      </c>
      <c r="AX113" s="15"/>
      <c r="AY113" s="15">
        <f>AV113+AX113</f>
        <v>15000</v>
      </c>
      <c r="BB113" s="15">
        <f>AY113+BA113</f>
        <v>15000</v>
      </c>
      <c r="BD113" s="15">
        <v>-13000</v>
      </c>
      <c r="BE113" s="15">
        <f>BB113+BD113</f>
        <v>2000</v>
      </c>
      <c r="BG113" s="15"/>
      <c r="BH113" s="15">
        <f>BE113+BG113</f>
        <v>2000</v>
      </c>
      <c r="BJ113" s="15">
        <v>938</v>
      </c>
      <c r="BK113" s="235">
        <f t="shared" ref="BK113" si="385">BJ113/BH113</f>
        <v>0.46899999999999997</v>
      </c>
      <c r="BM113" s="15">
        <v>2000</v>
      </c>
      <c r="BN113" s="235">
        <f t="shared" ref="BN113" si="386">BM113/BJ113</f>
        <v>2.1321961620469083</v>
      </c>
      <c r="BO113" s="235">
        <f t="shared" ref="BO113" si="387">BM113/BH113</f>
        <v>1</v>
      </c>
      <c r="BQ113" s="15"/>
      <c r="BR113" s="15">
        <f>BM113+BQ113</f>
        <v>2000</v>
      </c>
      <c r="BT113" s="15"/>
      <c r="BU113" s="15">
        <f>BR113+BT113</f>
        <v>2000</v>
      </c>
      <c r="BW113" s="15"/>
      <c r="BX113" s="15">
        <f>BU113+BW113</f>
        <v>2000</v>
      </c>
      <c r="BZ113" s="227">
        <v>1000</v>
      </c>
      <c r="CA113" s="15">
        <f t="shared" si="351"/>
        <v>3000</v>
      </c>
      <c r="CC113" s="15"/>
      <c r="CD113" s="15">
        <f t="shared" si="352"/>
        <v>3000</v>
      </c>
      <c r="CF113" s="15"/>
      <c r="CG113" s="15">
        <f t="shared" si="353"/>
        <v>3000</v>
      </c>
      <c r="CI113" s="15"/>
      <c r="CJ113" s="15">
        <f t="shared" si="354"/>
        <v>3000</v>
      </c>
      <c r="CM113" s="15">
        <f t="shared" si="355"/>
        <v>3000</v>
      </c>
      <c r="CP113" s="15">
        <f t="shared" si="356"/>
        <v>3000</v>
      </c>
      <c r="CS113" s="15">
        <f t="shared" si="357"/>
        <v>3000</v>
      </c>
      <c r="CU113" s="227">
        <v>-500</v>
      </c>
      <c r="CV113" s="15">
        <f t="shared" si="358"/>
        <v>2500</v>
      </c>
      <c r="CX113" s="227"/>
      <c r="CY113" s="15">
        <f t="shared" si="359"/>
        <v>2500</v>
      </c>
      <c r="DA113" s="15">
        <v>2449</v>
      </c>
      <c r="DC113" s="15">
        <v>40000</v>
      </c>
      <c r="DE113" s="15"/>
      <c r="DF113" s="15">
        <f>DC113+DE113</f>
        <v>40000</v>
      </c>
      <c r="DH113" s="15"/>
      <c r="DI113" s="15">
        <f>DF113+DH113</f>
        <v>40000</v>
      </c>
      <c r="DK113" s="15"/>
      <c r="DL113" s="15">
        <f>DI113+DK113</f>
        <v>40000</v>
      </c>
      <c r="DN113" s="15"/>
      <c r="DO113" s="15">
        <f>DL113+DN113</f>
        <v>40000</v>
      </c>
      <c r="DQ113" s="227">
        <v>-3000</v>
      </c>
      <c r="DR113" s="15">
        <f>DO113+DQ113</f>
        <v>37000</v>
      </c>
      <c r="DT113" s="15"/>
      <c r="DU113" s="15">
        <f>DR113+DT113</f>
        <v>37000</v>
      </c>
      <c r="DW113" s="15"/>
      <c r="DX113" s="15">
        <f>DU113+DW113</f>
        <v>37000</v>
      </c>
      <c r="DZ113" s="15"/>
      <c r="EA113" s="15">
        <f>DX113+DZ113</f>
        <v>37000</v>
      </c>
      <c r="EC113" s="227">
        <v>-18700</v>
      </c>
      <c r="ED113" s="15">
        <f>EA113+EC113</f>
        <v>18300</v>
      </c>
      <c r="EF113" s="15"/>
      <c r="EG113" s="15">
        <f>ED113+EF113</f>
        <v>18300</v>
      </c>
      <c r="EI113" s="15">
        <v>18138.86</v>
      </c>
      <c r="EK113" s="15">
        <v>200000</v>
      </c>
      <c r="EM113" s="15"/>
      <c r="EN113" s="15">
        <f>EK113+EM113</f>
        <v>200000</v>
      </c>
      <c r="EP113" s="227">
        <v>50000</v>
      </c>
      <c r="EQ113" s="15">
        <f>EN113+EP113</f>
        <v>250000</v>
      </c>
      <c r="ES113" s="15"/>
      <c r="ET113" s="15">
        <f>EQ113+ES113</f>
        <v>250000</v>
      </c>
      <c r="EV113" s="227">
        <v>100000</v>
      </c>
      <c r="EW113" s="15">
        <f>ET113+EV113</f>
        <v>350000</v>
      </c>
      <c r="EZ113" s="15">
        <f>EW113+EY113</f>
        <v>350000</v>
      </c>
      <c r="FB113" s="227">
        <v>50000</v>
      </c>
      <c r="FC113" s="15">
        <f>EZ113+FB113</f>
        <v>400000</v>
      </c>
      <c r="FF113" s="15">
        <f>FC113+FE113</f>
        <v>400000</v>
      </c>
      <c r="FI113" s="15">
        <f>FF113+FH113</f>
        <v>400000</v>
      </c>
      <c r="FK113" s="227">
        <v>-40000</v>
      </c>
      <c r="FL113" s="15">
        <f>FI113+FK113</f>
        <v>360000</v>
      </c>
      <c r="FO113" s="15">
        <f>FL113+FN113</f>
        <v>360000</v>
      </c>
      <c r="FR113" s="15">
        <v>360000</v>
      </c>
      <c r="FT113" s="15">
        <v>352450.89</v>
      </c>
      <c r="FV113" s="15">
        <v>30000</v>
      </c>
      <c r="FW113" s="235">
        <f t="shared" si="379"/>
        <v>8.511824157969923E-2</v>
      </c>
      <c r="FZ113" s="15">
        <f t="shared" si="334"/>
        <v>30000</v>
      </c>
      <c r="GB113" s="15"/>
      <c r="GC113" s="15">
        <f t="shared" si="335"/>
        <v>30000</v>
      </c>
      <c r="GE113" s="15"/>
      <c r="GF113" s="15">
        <f t="shared" si="336"/>
        <v>30000</v>
      </c>
      <c r="GH113" s="227">
        <v>-3600</v>
      </c>
      <c r="GI113" s="15">
        <f t="shared" si="337"/>
        <v>26400</v>
      </c>
      <c r="GK113" s="227">
        <v>-500</v>
      </c>
      <c r="GL113" s="15">
        <f t="shared" si="338"/>
        <v>25900</v>
      </c>
      <c r="GN113" s="227">
        <v>20000</v>
      </c>
      <c r="GO113" s="15">
        <f t="shared" si="339"/>
        <v>45900</v>
      </c>
      <c r="GQ113" s="15"/>
      <c r="GR113" s="15">
        <f t="shared" si="340"/>
        <v>45900</v>
      </c>
      <c r="GT113" s="15"/>
      <c r="GU113" s="15">
        <f t="shared" si="341"/>
        <v>45900</v>
      </c>
      <c r="GW113" s="15"/>
      <c r="GX113" s="15">
        <f t="shared" si="342"/>
        <v>45900</v>
      </c>
      <c r="GZ113" s="15"/>
      <c r="HA113" s="189">
        <f t="shared" si="343"/>
        <v>45900</v>
      </c>
      <c r="HC113" s="189">
        <v>45474.87</v>
      </c>
      <c r="HE113" s="15">
        <v>30000</v>
      </c>
      <c r="HF113" s="235">
        <f t="shared" si="380"/>
        <v>0.65970501949758187</v>
      </c>
    </row>
    <row r="114" spans="1:214" outlineLevel="1">
      <c r="A114" s="1" t="s">
        <v>165</v>
      </c>
      <c r="B114" s="2" t="s">
        <v>208</v>
      </c>
      <c r="C114" t="s">
        <v>614</v>
      </c>
      <c r="D114" s="43"/>
      <c r="E114" s="34"/>
      <c r="F114" s="43"/>
      <c r="G114" s="34"/>
      <c r="H114" s="46"/>
      <c r="I114" s="36"/>
      <c r="J114" s="14"/>
      <c r="M114" s="17"/>
      <c r="N114" s="17"/>
      <c r="U114" s="16"/>
      <c r="Y114" s="118"/>
      <c r="AB114" s="185"/>
      <c r="AC114" s="187"/>
      <c r="AD114" s="187"/>
      <c r="AF114" s="182"/>
      <c r="AH114" s="15"/>
      <c r="AI114" s="17"/>
      <c r="AS114" s="15"/>
      <c r="AV114" s="15"/>
      <c r="AX114" s="15"/>
      <c r="AY114" s="15"/>
      <c r="BB114" s="15"/>
      <c r="BD114" s="15"/>
      <c r="BE114" s="15"/>
      <c r="BG114" s="15"/>
      <c r="BH114" s="15"/>
      <c r="BK114" s="235"/>
      <c r="BM114" s="15"/>
      <c r="BN114" s="235"/>
      <c r="BO114" s="235"/>
      <c r="BQ114" s="15"/>
      <c r="BR114" s="15"/>
      <c r="BT114" s="15"/>
      <c r="BU114" s="15"/>
      <c r="BW114" s="15"/>
      <c r="BX114" s="15"/>
      <c r="BZ114" s="227"/>
      <c r="CA114" s="15"/>
      <c r="CC114" s="15"/>
      <c r="CD114" s="15"/>
      <c r="CF114" s="15"/>
      <c r="CG114" s="15"/>
      <c r="CI114" s="15"/>
      <c r="CJ114" s="15"/>
      <c r="CM114" s="15"/>
      <c r="CP114" s="15"/>
      <c r="CS114" s="15"/>
      <c r="CU114" s="227"/>
      <c r="CV114" s="15"/>
      <c r="CX114" s="227"/>
      <c r="CY114" s="15"/>
      <c r="DE114" s="15"/>
      <c r="DF114" s="15"/>
      <c r="DH114" s="15"/>
      <c r="DI114" s="15"/>
      <c r="DK114" s="227">
        <f>1244540.66</f>
        <v>1244540.6599999999</v>
      </c>
      <c r="DL114" s="15">
        <f>DI114+DK114</f>
        <v>1244540.6599999999</v>
      </c>
      <c r="DN114" s="15"/>
      <c r="DO114" s="15">
        <f>DL114+DN114</f>
        <v>1244540.6599999999</v>
      </c>
      <c r="DQ114" s="15"/>
      <c r="DR114" s="15">
        <f>DO114+DQ114</f>
        <v>1244540.6599999999</v>
      </c>
      <c r="DT114" s="15"/>
      <c r="DU114" s="15">
        <f>DR114+DT114</f>
        <v>1244540.6599999999</v>
      </c>
      <c r="DW114" s="15"/>
      <c r="DX114" s="15">
        <f>DU114+DW114</f>
        <v>1244540.6599999999</v>
      </c>
      <c r="DZ114" s="15"/>
      <c r="EA114" s="15">
        <f>DX114+DZ114</f>
        <v>1244540.6599999999</v>
      </c>
      <c r="EC114" s="15"/>
      <c r="ED114" s="15">
        <f>EA114+EC114</f>
        <v>1244540.6599999999</v>
      </c>
      <c r="EF114" s="15"/>
      <c r="EG114" s="15">
        <f>ED114+EF114</f>
        <v>1244540.6599999999</v>
      </c>
      <c r="EI114" s="15">
        <v>1244540.6599999999</v>
      </c>
      <c r="EK114" s="15">
        <f>7300+150000</f>
        <v>157300</v>
      </c>
      <c r="EM114" s="227">
        <v>-7300</v>
      </c>
      <c r="EN114" s="15">
        <f>EK114+EM114</f>
        <v>150000</v>
      </c>
      <c r="EP114" s="15"/>
      <c r="EQ114" s="15">
        <f>EN114+EP114</f>
        <v>150000</v>
      </c>
      <c r="ES114" s="15"/>
      <c r="ET114" s="15">
        <f>EQ114+ES114</f>
        <v>150000</v>
      </c>
      <c r="EV114" s="227">
        <v>80000</v>
      </c>
      <c r="EW114" s="15">
        <f>ET114+EV114</f>
        <v>230000</v>
      </c>
      <c r="EZ114" s="15">
        <f>EW114+EY114</f>
        <v>230000</v>
      </c>
      <c r="FB114" s="227">
        <v>61000</v>
      </c>
      <c r="FC114" s="15">
        <f>EZ114+FB114</f>
        <v>291000</v>
      </c>
      <c r="FE114" s="227">
        <v>10000</v>
      </c>
      <c r="FF114" s="15">
        <f>FC114+FE114</f>
        <v>301000</v>
      </c>
      <c r="FH114" s="227">
        <v>30000</v>
      </c>
      <c r="FI114" s="15">
        <f>FF114+FH114</f>
        <v>331000</v>
      </c>
      <c r="FK114" s="227">
        <v>100000</v>
      </c>
      <c r="FL114" s="15">
        <f>FI114+FK114</f>
        <v>431000</v>
      </c>
      <c r="FO114" s="15">
        <f>FL114+FN114</f>
        <v>431000</v>
      </c>
      <c r="FR114" s="15">
        <v>431000</v>
      </c>
      <c r="FT114" s="15">
        <v>411409.06</v>
      </c>
      <c r="FV114" s="424">
        <v>50000</v>
      </c>
      <c r="FW114" s="235">
        <f t="shared" si="379"/>
        <v>0.12153354133717911</v>
      </c>
      <c r="FZ114" s="15">
        <f t="shared" si="334"/>
        <v>50000</v>
      </c>
      <c r="GB114" s="15"/>
      <c r="GC114" s="15">
        <f t="shared" si="335"/>
        <v>50000</v>
      </c>
      <c r="GE114" s="15"/>
      <c r="GF114" s="15">
        <f t="shared" si="336"/>
        <v>50000</v>
      </c>
      <c r="GH114" s="15"/>
      <c r="GI114" s="15">
        <f t="shared" si="337"/>
        <v>50000</v>
      </c>
      <c r="GK114" s="15"/>
      <c r="GL114" s="15">
        <f t="shared" si="338"/>
        <v>50000</v>
      </c>
      <c r="GN114" s="15"/>
      <c r="GO114" s="15">
        <f t="shared" si="339"/>
        <v>50000</v>
      </c>
      <c r="GQ114" s="227">
        <v>-33100</v>
      </c>
      <c r="GR114" s="15">
        <f t="shared" si="340"/>
        <v>16900</v>
      </c>
      <c r="GT114" s="15"/>
      <c r="GU114" s="15">
        <f t="shared" si="341"/>
        <v>16900</v>
      </c>
      <c r="GW114" s="15"/>
      <c r="GX114" s="15">
        <f t="shared" si="342"/>
        <v>16900</v>
      </c>
      <c r="GZ114" s="15"/>
      <c r="HA114" s="189">
        <f t="shared" si="343"/>
        <v>16900</v>
      </c>
      <c r="HC114" s="189">
        <v>16867.400000000001</v>
      </c>
      <c r="HE114" s="15">
        <v>0</v>
      </c>
      <c r="HF114" s="235">
        <f t="shared" si="380"/>
        <v>0</v>
      </c>
    </row>
    <row r="115" spans="1:214" outlineLevel="1">
      <c r="A115" s="1" t="s">
        <v>165</v>
      </c>
      <c r="B115" s="1" t="s">
        <v>588</v>
      </c>
      <c r="C115" s="4" t="s">
        <v>589</v>
      </c>
      <c r="D115" s="43"/>
      <c r="E115" s="34"/>
      <c r="F115" s="43"/>
      <c r="G115" s="34"/>
      <c r="H115" s="46"/>
      <c r="I115" s="36"/>
      <c r="J115" s="14"/>
      <c r="M115" s="17"/>
      <c r="N115" s="17"/>
      <c r="U115" s="16"/>
      <c r="Y115" s="118"/>
      <c r="AB115" s="185"/>
      <c r="AC115" s="187"/>
      <c r="AD115" s="187"/>
      <c r="AF115" s="182"/>
      <c r="AH115" s="15"/>
      <c r="AI115" s="17"/>
      <c r="AS115" s="15"/>
      <c r="AV115" s="15"/>
      <c r="AX115" s="15"/>
      <c r="AY115" s="15"/>
      <c r="BB115" s="15"/>
      <c r="BD115" s="15"/>
      <c r="BE115" s="15"/>
      <c r="BG115" s="15"/>
      <c r="BH115" s="15"/>
      <c r="BK115" s="235"/>
      <c r="BM115" s="15"/>
      <c r="BN115" s="235"/>
      <c r="BO115" s="235"/>
      <c r="BQ115" s="15"/>
      <c r="BR115" s="15"/>
      <c r="BT115" s="15"/>
      <c r="BU115" s="15"/>
      <c r="BW115" s="15"/>
      <c r="BX115" s="15"/>
      <c r="BZ115" s="227"/>
      <c r="CA115" s="15"/>
      <c r="CC115" s="15"/>
      <c r="CD115" s="15"/>
      <c r="CF115" s="15"/>
      <c r="CG115" s="15"/>
      <c r="CI115" s="15"/>
      <c r="CJ115" s="15"/>
      <c r="CM115" s="15"/>
      <c r="CP115" s="15"/>
      <c r="CS115" s="15"/>
      <c r="CU115" s="227"/>
      <c r="CV115" s="15"/>
      <c r="CX115" s="227"/>
      <c r="CY115" s="15"/>
      <c r="DC115" s="15">
        <v>378000</v>
      </c>
      <c r="DE115" s="15"/>
      <c r="DF115" s="15">
        <f>DC115+DE115</f>
        <v>378000</v>
      </c>
      <c r="DH115" s="15"/>
      <c r="DI115" s="15">
        <f>DF115+DH115</f>
        <v>378000</v>
      </c>
      <c r="DK115" s="227">
        <v>-378000</v>
      </c>
      <c r="DL115" s="15">
        <f>DI115+DK115</f>
        <v>0</v>
      </c>
      <c r="DN115" s="15"/>
      <c r="DO115" s="15">
        <f>DL115+DN115</f>
        <v>0</v>
      </c>
      <c r="DQ115" s="15"/>
      <c r="DR115" s="15">
        <f>DO115+DQ115</f>
        <v>0</v>
      </c>
      <c r="DT115" s="15"/>
      <c r="DU115" s="15">
        <f>DR115+DT115</f>
        <v>0</v>
      </c>
      <c r="DW115" s="15"/>
      <c r="DX115" s="15">
        <f>DU115+DW115</f>
        <v>0</v>
      </c>
      <c r="DZ115" s="15"/>
      <c r="EA115" s="15">
        <f>DX115+DZ115</f>
        <v>0</v>
      </c>
      <c r="EC115" s="15"/>
      <c r="ED115" s="15">
        <f>EA115+EC115</f>
        <v>0</v>
      </c>
      <c r="EF115" s="15"/>
      <c r="EG115" s="15">
        <f>ED115+EF115</f>
        <v>0</v>
      </c>
      <c r="EI115" s="15">
        <v>0</v>
      </c>
      <c r="EK115" s="15">
        <v>0</v>
      </c>
      <c r="EM115" s="15"/>
      <c r="EN115" s="15">
        <f>EK115+EM115</f>
        <v>0</v>
      </c>
      <c r="EP115" s="15"/>
      <c r="EQ115" s="15">
        <f>EN115+EP115</f>
        <v>0</v>
      </c>
      <c r="ES115" s="15"/>
      <c r="ET115" s="15">
        <f>EQ115+ES115</f>
        <v>0</v>
      </c>
      <c r="EW115" s="15">
        <f>ET115+EV115</f>
        <v>0</v>
      </c>
      <c r="EZ115" s="15">
        <f>EW115+EY115</f>
        <v>0</v>
      </c>
      <c r="FC115" s="15">
        <f>EZ115+FB115</f>
        <v>0</v>
      </c>
      <c r="FF115" s="15">
        <f>FC115+FE115</f>
        <v>0</v>
      </c>
      <c r="FI115" s="15">
        <f>FF115+FH115</f>
        <v>0</v>
      </c>
      <c r="FL115" s="15">
        <f>FI115+FK115</f>
        <v>0</v>
      </c>
      <c r="FO115" s="15">
        <f>FL115+FN115</f>
        <v>0</v>
      </c>
      <c r="FR115" s="15">
        <v>0</v>
      </c>
      <c r="FZ115" s="15">
        <f t="shared" si="334"/>
        <v>0</v>
      </c>
      <c r="GB115" s="15"/>
      <c r="GC115" s="15">
        <f t="shared" si="335"/>
        <v>0</v>
      </c>
      <c r="GE115" s="15"/>
      <c r="GF115" s="15">
        <f t="shared" si="336"/>
        <v>0</v>
      </c>
      <c r="GH115" s="15"/>
      <c r="GI115" s="15">
        <f t="shared" si="337"/>
        <v>0</v>
      </c>
      <c r="GK115" s="15"/>
      <c r="GL115" s="15">
        <f t="shared" si="338"/>
        <v>0</v>
      </c>
      <c r="GN115" s="15"/>
      <c r="GO115" s="15">
        <f t="shared" si="339"/>
        <v>0</v>
      </c>
      <c r="GQ115" s="15"/>
      <c r="GR115" s="15">
        <f t="shared" si="340"/>
        <v>0</v>
      </c>
      <c r="GT115" s="15"/>
      <c r="GU115" s="15">
        <f t="shared" si="341"/>
        <v>0</v>
      </c>
      <c r="GW115" s="15"/>
      <c r="GX115" s="15">
        <f t="shared" si="342"/>
        <v>0</v>
      </c>
      <c r="GZ115" s="15"/>
      <c r="HA115" s="189">
        <f t="shared" si="343"/>
        <v>0</v>
      </c>
    </row>
    <row r="116" spans="1:214" outlineLevel="1">
      <c r="A116" s="1" t="s">
        <v>165</v>
      </c>
      <c r="B116" s="4" t="s">
        <v>46</v>
      </c>
      <c r="C116" s="4" t="s">
        <v>166</v>
      </c>
      <c r="D116" s="43">
        <v>14400</v>
      </c>
      <c r="E116" s="34">
        <v>196.61</v>
      </c>
      <c r="F116" s="43">
        <v>52232</v>
      </c>
      <c r="G116" s="34">
        <v>54.2</v>
      </c>
      <c r="H116" s="46">
        <v>28312</v>
      </c>
      <c r="I116" s="36"/>
      <c r="J116" s="14"/>
      <c r="M116" s="17"/>
      <c r="N116" s="17"/>
      <c r="Y116" s="118"/>
      <c r="AF116" s="182"/>
      <c r="AH116" s="15"/>
      <c r="AX116" s="15"/>
      <c r="BD116" s="15"/>
      <c r="BG116" s="15"/>
      <c r="DE116" s="15"/>
      <c r="DH116" s="15"/>
      <c r="DK116" s="15"/>
      <c r="DN116" s="15"/>
      <c r="DQ116" s="15"/>
      <c r="DT116" s="15"/>
      <c r="DW116" s="15"/>
      <c r="DZ116" s="15"/>
      <c r="EC116" s="15"/>
      <c r="EF116" s="15"/>
      <c r="EK116" s="15"/>
      <c r="EM116" s="15"/>
      <c r="EP116" s="15"/>
      <c r="ES116" s="15"/>
      <c r="GB116" s="15"/>
      <c r="GE116" s="15"/>
      <c r="GH116" s="15"/>
      <c r="GK116" s="15"/>
      <c r="GN116" s="15"/>
      <c r="GQ116" s="15"/>
      <c r="GT116" s="15"/>
      <c r="GW116" s="15"/>
      <c r="GZ116" s="15"/>
    </row>
    <row r="117" spans="1:214" ht="17.25" customHeight="1" thickBot="1">
      <c r="A117" s="54" t="s">
        <v>165</v>
      </c>
      <c r="B117" s="55" t="s">
        <v>316</v>
      </c>
      <c r="C117" s="283" t="s">
        <v>166</v>
      </c>
      <c r="D117" s="57">
        <f>SUM(D109:D113)</f>
        <v>14400</v>
      </c>
      <c r="E117" s="58"/>
      <c r="F117" s="57">
        <f>SUM(F109:F113)</f>
        <v>52232</v>
      </c>
      <c r="G117" s="58"/>
      <c r="H117" s="57"/>
      <c r="I117" s="57">
        <f>SUM(I109:I113)</f>
        <v>23628</v>
      </c>
      <c r="J117" s="138" t="e">
        <f>I117/$I$350</f>
        <v>#REF!</v>
      </c>
      <c r="K117" s="60"/>
      <c r="L117" s="122">
        <f>SUM(L109:L113)</f>
        <v>31000</v>
      </c>
      <c r="M117" s="61">
        <f>L117/F117-1</f>
        <v>-0.40649410323173529</v>
      </c>
      <c r="N117" s="61">
        <f>L117/I117-1</f>
        <v>0.3120027086507533</v>
      </c>
      <c r="O117" s="17">
        <f>L117/$L$350</f>
        <v>7.192575539537365E-3</v>
      </c>
      <c r="P117" s="17"/>
      <c r="Q117" s="122">
        <f>SUM(Q109:Q113)</f>
        <v>31000</v>
      </c>
      <c r="R117" s="122">
        <f>SUM(R109:R113)</f>
        <v>11557</v>
      </c>
      <c r="S117" s="122">
        <f>SUM(S109:S113)</f>
        <v>27000</v>
      </c>
      <c r="T117" s="122">
        <f>SUM(T109:T113)</f>
        <v>-4000</v>
      </c>
      <c r="U117" s="155">
        <f>S117/Q117-1</f>
        <v>-0.12903225806451613</v>
      </c>
      <c r="Y117" s="122">
        <f>SUM(Y109:Y113)</f>
        <v>33700</v>
      </c>
      <c r="AA117" s="122">
        <f>SUM(AA109:AA113)</f>
        <v>35700</v>
      </c>
      <c r="AB117" s="122">
        <f>SUM(AB109:AB113)</f>
        <v>2000</v>
      </c>
      <c r="AE117" s="122">
        <f>SUM(AE109:AE113)</f>
        <v>51400</v>
      </c>
      <c r="AF117" s="182"/>
      <c r="AH117" s="122">
        <f>SUM(AH109:AH113)</f>
        <v>48781.81</v>
      </c>
      <c r="AI117" s="17">
        <f t="shared" ref="AI117:AI118" si="388">AH117/AE117</f>
        <v>0.94906245136186762</v>
      </c>
      <c r="AK117" s="122">
        <f>SUM(AK109:AK113)</f>
        <v>51000</v>
      </c>
      <c r="AL117" s="193">
        <f t="shared" ref="AL117:AL118" si="389">AK117/L117</f>
        <v>1.6451612903225807</v>
      </c>
      <c r="AM117" s="17">
        <f t="shared" ref="AM117:AM118" si="390">AK117/AE117</f>
        <v>0.99221789883268485</v>
      </c>
      <c r="AN117" s="17">
        <f t="shared" ref="AN117:AN118" si="391">AK117/AH117</f>
        <v>1.0454716624905882</v>
      </c>
      <c r="AS117" s="122">
        <f>SUM(AS109:AS113)</f>
        <v>51000</v>
      </c>
      <c r="AU117" s="122">
        <f>SUM(AU109:AU113)</f>
        <v>0</v>
      </c>
      <c r="AV117" s="122">
        <f>SUM(AV109:AV113)</f>
        <v>51000</v>
      </c>
      <c r="AX117" s="122">
        <f>SUM(AX109:AX113)</f>
        <v>0</v>
      </c>
      <c r="AY117" s="122">
        <f>SUM(AY109:AY113)</f>
        <v>51000</v>
      </c>
      <c r="BA117" s="122">
        <f>SUM(BA108:BA113)</f>
        <v>5000</v>
      </c>
      <c r="BB117" s="122">
        <f>SUM(BB108:BB113)</f>
        <v>56000</v>
      </c>
      <c r="BD117" s="122">
        <f>SUM(BD108:BD113)</f>
        <v>-10000</v>
      </c>
      <c r="BE117" s="122">
        <f>SUM(BE108:BE113)</f>
        <v>46000</v>
      </c>
      <c r="BG117" s="122">
        <f>SUM(BG108:BG113)</f>
        <v>-2000</v>
      </c>
      <c r="BH117" s="122">
        <f>SUM(BH108:BH113)</f>
        <v>44000</v>
      </c>
      <c r="BJ117" s="122">
        <f>SUM(BJ108:BJ113)</f>
        <v>38817.83</v>
      </c>
      <c r="BK117" s="236">
        <f t="shared" ref="BK117:BK118" si="392">BJ117/BH117</f>
        <v>0.88222340909090913</v>
      </c>
      <c r="BM117" s="122">
        <f>SUM(BM108:BM113)</f>
        <v>33200</v>
      </c>
      <c r="BN117" s="236">
        <f t="shared" ref="BN117:BN118" si="393">BM117/BJ117</f>
        <v>0.85527707241749473</v>
      </c>
      <c r="BO117" s="236">
        <f t="shared" ref="BO117:BO118" si="394">BM117/BH117</f>
        <v>0.75454545454545452</v>
      </c>
      <c r="BQ117" s="122">
        <f>SUM(BQ108:BQ113)</f>
        <v>0</v>
      </c>
      <c r="BR117" s="122">
        <f>SUM(BR108:BR113)</f>
        <v>33200</v>
      </c>
      <c r="BT117" s="122">
        <f>SUM(BT108:BT113)</f>
        <v>0</v>
      </c>
      <c r="BU117" s="122">
        <f>SUM(BU108:BU113)</f>
        <v>33200</v>
      </c>
      <c r="BW117" s="122">
        <f>SUM(BW108:BW113)</f>
        <v>0</v>
      </c>
      <c r="BX117" s="122">
        <f>SUM(BX108:BX113)</f>
        <v>33200</v>
      </c>
      <c r="BZ117" s="122">
        <f>SUM(BZ108:BZ113)</f>
        <v>26000</v>
      </c>
      <c r="CA117" s="122">
        <f>SUM(CA108:CA113)</f>
        <v>59200</v>
      </c>
      <c r="CC117" s="122">
        <f>SUM(CC108:CC113)</f>
        <v>0</v>
      </c>
      <c r="CD117" s="122">
        <f>SUM(CD108:CD113)</f>
        <v>59200</v>
      </c>
      <c r="CF117" s="122">
        <f>SUM(CF108:CF113)</f>
        <v>0</v>
      </c>
      <c r="CG117" s="122">
        <f>SUM(CG108:CG113)</f>
        <v>59200</v>
      </c>
      <c r="CI117" s="122">
        <f>SUM(CI108:CI113)</f>
        <v>0</v>
      </c>
      <c r="CJ117" s="122">
        <f>SUM(CJ108:CJ113)</f>
        <v>59200</v>
      </c>
      <c r="CL117" s="319">
        <f>SUM(CL108:CL113)</f>
        <v>500</v>
      </c>
      <c r="CM117" s="122">
        <f>SUM(CM108:CM113)</f>
        <v>59700</v>
      </c>
      <c r="CO117" s="122">
        <f>SUM(CO108:CO113)</f>
        <v>-19000</v>
      </c>
      <c r="CP117" s="122">
        <f>SUM(CP108:CP113)</f>
        <v>40700</v>
      </c>
      <c r="CR117" s="122">
        <f>SUM(CR108:CR113)</f>
        <v>0</v>
      </c>
      <c r="CS117" s="122">
        <f>SUM(CS108:CS113)</f>
        <v>40700</v>
      </c>
      <c r="CU117" s="122">
        <f>SUM(CU108:CU113)</f>
        <v>-8000</v>
      </c>
      <c r="CV117" s="122">
        <f>SUM(CV108:CV113)</f>
        <v>32700</v>
      </c>
      <c r="CX117" s="122">
        <f>SUM(CX108:CX113)</f>
        <v>0</v>
      </c>
      <c r="CY117" s="122">
        <f>SUM(CY108:CY113)</f>
        <v>32700</v>
      </c>
      <c r="DA117" s="122">
        <f>SUM(DA108:DA113)</f>
        <v>31838.42</v>
      </c>
      <c r="DC117" s="122">
        <f>SUM(DC108:DC113)</f>
        <v>65500</v>
      </c>
      <c r="DE117" s="122">
        <f>SUM(DE108:DE113)</f>
        <v>0</v>
      </c>
      <c r="DF117" s="122">
        <f>SUM(DF108:DF113)</f>
        <v>65500</v>
      </c>
      <c r="DH117" s="122">
        <f>SUM(DH108:DH113)</f>
        <v>15000</v>
      </c>
      <c r="DI117" s="122">
        <f>SUM(DI108:DI113)</f>
        <v>80500</v>
      </c>
      <c r="DK117" s="122">
        <f>SUM(DK108:DK113)</f>
        <v>0</v>
      </c>
      <c r="DL117" s="122">
        <f>SUM(DL108:DL113)</f>
        <v>80500</v>
      </c>
      <c r="DN117" s="122">
        <f>SUM(DN108:DN113)</f>
        <v>0</v>
      </c>
      <c r="DO117" s="122">
        <f>SUM(DO108:DO113)</f>
        <v>80500</v>
      </c>
      <c r="DQ117" s="122">
        <f>SUM(DQ108:DQ113)</f>
        <v>27000</v>
      </c>
      <c r="DR117" s="122">
        <f>SUM(DR108:DR113)</f>
        <v>107500</v>
      </c>
      <c r="DT117" s="122">
        <f>SUM(DT108:DT113)</f>
        <v>78000</v>
      </c>
      <c r="DU117" s="122">
        <f>SUM(DU108:DU113)</f>
        <v>185500</v>
      </c>
      <c r="DW117" s="122">
        <f>SUM(DW108:DW113)</f>
        <v>0</v>
      </c>
      <c r="DX117" s="122">
        <f>SUM(DX108:DX113)</f>
        <v>185500</v>
      </c>
      <c r="DZ117" s="122">
        <f>SUM(DZ108:DZ113)</f>
        <v>6000</v>
      </c>
      <c r="EA117" s="122">
        <f>SUM(EA108:EA113)</f>
        <v>191500</v>
      </c>
      <c r="EC117" s="122">
        <f>SUM(EC108:EC113)</f>
        <v>-32900</v>
      </c>
      <c r="ED117" s="122">
        <f>SUM(ED108:ED113)</f>
        <v>158600</v>
      </c>
      <c r="EF117" s="122">
        <f>SUM(EF108:EF113)</f>
        <v>4000</v>
      </c>
      <c r="EG117" s="122">
        <f>SUM(EG108:EG113)</f>
        <v>162600</v>
      </c>
      <c r="EI117" s="122">
        <f>SUM(EI108:EI113)</f>
        <v>161888.20000000001</v>
      </c>
      <c r="EK117" s="122">
        <f>SUM(EK104:EK113)</f>
        <v>316000</v>
      </c>
      <c r="EL117" s="377">
        <f>EK117/EI117-1</f>
        <v>0.95196438035631981</v>
      </c>
      <c r="EM117" s="122">
        <f>SUM(EM108:EM113)</f>
        <v>7300</v>
      </c>
      <c r="EN117" s="122">
        <f>SUM(EN104:EN113)</f>
        <v>323300</v>
      </c>
      <c r="EP117" s="122">
        <f>SUM(EP108:EP113)</f>
        <v>50000</v>
      </c>
      <c r="EQ117" s="122">
        <f>SUM(EQ104:EQ113)</f>
        <v>373300</v>
      </c>
      <c r="ES117" s="122">
        <f>SUM(ES108:ES113)</f>
        <v>0</v>
      </c>
      <c r="ET117" s="122">
        <f>SUM(ET104:ET113)</f>
        <v>373300</v>
      </c>
      <c r="EV117" s="122">
        <f>SUM(EV108:EV113)</f>
        <v>100000</v>
      </c>
      <c r="EW117" s="122">
        <f>SUM(EW104:EW113)</f>
        <v>473300</v>
      </c>
      <c r="EY117" s="122">
        <f>SUM(EY108:EY113)</f>
        <v>0</v>
      </c>
      <c r="EZ117" s="122">
        <f>SUM(EZ104:EZ113)</f>
        <v>473300</v>
      </c>
      <c r="FB117" s="122">
        <f>SUM(FB108:FB113)</f>
        <v>53000</v>
      </c>
      <c r="FC117" s="122">
        <f>SUM(FC104:FC113)</f>
        <v>526300</v>
      </c>
      <c r="FE117" s="122">
        <f>SUM(FE108:FE113)</f>
        <v>650</v>
      </c>
      <c r="FF117" s="122">
        <f>SUM(FF104:FF113)</f>
        <v>526950</v>
      </c>
      <c r="FH117" s="122">
        <f>SUM(FH108:FH113)</f>
        <v>0</v>
      </c>
      <c r="FI117" s="122">
        <f>SUM(FI104:FI113)</f>
        <v>526950</v>
      </c>
      <c r="FK117" s="122">
        <f>SUM(FK104:FK113)</f>
        <v>-107000</v>
      </c>
      <c r="FL117" s="122">
        <f>SUM(FL104:FL113)</f>
        <v>419950</v>
      </c>
      <c r="FN117" s="122">
        <f>SUM(FN104:FN113)</f>
        <v>0</v>
      </c>
      <c r="FO117" s="122">
        <f>SUM(FO104:FO113)</f>
        <v>419950</v>
      </c>
      <c r="FQ117" s="122">
        <v>0</v>
      </c>
      <c r="FR117" s="122">
        <v>419950</v>
      </c>
      <c r="FT117" s="122">
        <f>SUM(FT104:FT113)</f>
        <v>397997.63</v>
      </c>
      <c r="FV117" s="122">
        <f>SUM(FV104:FV113)</f>
        <v>79000</v>
      </c>
      <c r="FW117" s="235">
        <f t="shared" ref="FW117:FW128" si="395">FV117/FT117</f>
        <v>0.19849364429632407</v>
      </c>
      <c r="FY117" s="122">
        <f>SUM(FY104:FY113)</f>
        <v>0</v>
      </c>
      <c r="FZ117" s="122">
        <f>SUM(FZ104:FZ113)</f>
        <v>79000</v>
      </c>
      <c r="GB117" s="122">
        <f>SUM(GB104:GB113)</f>
        <v>0</v>
      </c>
      <c r="GC117" s="122">
        <f>SUM(GC104:GC113)</f>
        <v>79000</v>
      </c>
      <c r="GE117" s="122">
        <f>SUM(GE104:GE113)</f>
        <v>0</v>
      </c>
      <c r="GF117" s="122">
        <f>SUM(GF104:GF113)</f>
        <v>79000</v>
      </c>
      <c r="GH117" s="122">
        <f>SUM(GH104:GH113)</f>
        <v>0</v>
      </c>
      <c r="GI117" s="122">
        <f>SUM(GI104:GI113)</f>
        <v>79000</v>
      </c>
      <c r="GK117" s="122">
        <f>SUM(GK104:GK113)</f>
        <v>0</v>
      </c>
      <c r="GL117" s="122">
        <f>SUM(GL104:GL113)</f>
        <v>79000</v>
      </c>
      <c r="GN117" s="122">
        <f>SUM(GN104:GN113)</f>
        <v>20000</v>
      </c>
      <c r="GO117" s="122">
        <f>SUM(GO104:GO113)</f>
        <v>99000</v>
      </c>
      <c r="GQ117" s="122">
        <f>SUM(GQ104:GQ113)</f>
        <v>0</v>
      </c>
      <c r="GR117" s="122">
        <f>SUM(GR104:GR113)</f>
        <v>99000</v>
      </c>
      <c r="GT117" s="122">
        <f>SUM(GT104:GT113)</f>
        <v>5000</v>
      </c>
      <c r="GU117" s="122">
        <f>SUM(GU104:GU113)</f>
        <v>104000</v>
      </c>
      <c r="GW117" s="122">
        <f>SUM(GW104:GW113)</f>
        <v>-3400</v>
      </c>
      <c r="GX117" s="122">
        <f>SUM(GX104:GX113)</f>
        <v>100600</v>
      </c>
      <c r="GZ117" s="122">
        <f>SUM(GZ104:GZ113)</f>
        <v>27500</v>
      </c>
      <c r="HA117" s="430">
        <f>SUM(HA104:HA113)</f>
        <v>128100</v>
      </c>
      <c r="HC117" s="122">
        <f>SUM(HC104:HC113)</f>
        <v>127193.26000000001</v>
      </c>
      <c r="HE117" s="122">
        <f>SUM(HE104:HE113)</f>
        <v>75000</v>
      </c>
      <c r="HF117" s="235">
        <f t="shared" ref="HF117:HF128" si="396">HE117/HC117</f>
        <v>0.58965388574834854</v>
      </c>
    </row>
    <row r="118" spans="1:214" ht="17.25" customHeight="1" thickTop="1" thickBot="1">
      <c r="A118" s="64" t="s">
        <v>165</v>
      </c>
      <c r="B118" s="65" t="s">
        <v>357</v>
      </c>
      <c r="C118" s="284" t="s">
        <v>333</v>
      </c>
      <c r="D118" s="66">
        <f>D113</f>
        <v>2000</v>
      </c>
      <c r="E118" s="67"/>
      <c r="F118" s="66">
        <f>F113</f>
        <v>2000</v>
      </c>
      <c r="G118" s="67"/>
      <c r="H118" s="66"/>
      <c r="I118" s="66">
        <f>I113</f>
        <v>721</v>
      </c>
      <c r="J118" s="68"/>
      <c r="K118" s="69"/>
      <c r="L118" s="123">
        <f>L113</f>
        <v>1000</v>
      </c>
      <c r="M118" s="70">
        <f>L118/F118-1</f>
        <v>-0.5</v>
      </c>
      <c r="N118" s="70">
        <f>L118/I118-1</f>
        <v>0.38696255201109575</v>
      </c>
      <c r="Q118" s="123">
        <f>Q113</f>
        <v>1000</v>
      </c>
      <c r="R118" s="123">
        <f>R113</f>
        <v>349</v>
      </c>
      <c r="S118" s="123">
        <f>S113</f>
        <v>1000</v>
      </c>
      <c r="T118" s="123">
        <f>T113</f>
        <v>0</v>
      </c>
      <c r="U118" s="155">
        <f>S118/Q118-1</f>
        <v>0</v>
      </c>
      <c r="Y118" s="123">
        <f>Y113</f>
        <v>1000</v>
      </c>
      <c r="AA118" s="123">
        <f>AA113</f>
        <v>3000</v>
      </c>
      <c r="AB118" s="123">
        <f>AB113</f>
        <v>2000</v>
      </c>
      <c r="AE118" s="123">
        <f>AE113</f>
        <v>11000</v>
      </c>
      <c r="AF118" s="182"/>
      <c r="AH118" s="123">
        <f>AH113</f>
        <v>10923</v>
      </c>
      <c r="AI118" s="17">
        <f t="shared" si="388"/>
        <v>0.99299999999999999</v>
      </c>
      <c r="AK118" s="123">
        <f>AK113</f>
        <v>15000</v>
      </c>
      <c r="AL118" s="193">
        <f t="shared" si="389"/>
        <v>15</v>
      </c>
      <c r="AM118" s="17">
        <f t="shared" si="390"/>
        <v>1.3636363636363635</v>
      </c>
      <c r="AN118" s="17">
        <f t="shared" si="391"/>
        <v>1.3732491073880801</v>
      </c>
      <c r="AS118" s="123">
        <f>AS113</f>
        <v>15000</v>
      </c>
      <c r="AU118" s="123">
        <f>AU113</f>
        <v>0</v>
      </c>
      <c r="AV118" s="123">
        <f>AV113</f>
        <v>15000</v>
      </c>
      <c r="AX118" s="123">
        <f>AX113</f>
        <v>0</v>
      </c>
      <c r="AY118" s="123">
        <f>AY113</f>
        <v>15000</v>
      </c>
      <c r="BA118" s="123">
        <f>BA113</f>
        <v>0</v>
      </c>
      <c r="BB118" s="123">
        <f>BB113</f>
        <v>15000</v>
      </c>
      <c r="BD118" s="123">
        <f>BD113</f>
        <v>-13000</v>
      </c>
      <c r="BE118" s="123">
        <f>BE113</f>
        <v>2000</v>
      </c>
      <c r="BG118" s="123">
        <f>BG113</f>
        <v>0</v>
      </c>
      <c r="BH118" s="123">
        <f>BH113</f>
        <v>2000</v>
      </c>
      <c r="BJ118" s="123">
        <f>BJ113</f>
        <v>938</v>
      </c>
      <c r="BK118" s="236">
        <f t="shared" si="392"/>
        <v>0.46899999999999997</v>
      </c>
      <c r="BM118" s="123">
        <f>BM113</f>
        <v>2000</v>
      </c>
      <c r="BN118" s="236">
        <f t="shared" si="393"/>
        <v>2.1321961620469083</v>
      </c>
      <c r="BO118" s="236">
        <f t="shared" si="394"/>
        <v>1</v>
      </c>
      <c r="BQ118" s="123">
        <f>BQ113</f>
        <v>0</v>
      </c>
      <c r="BR118" s="123">
        <f>BR113</f>
        <v>2000</v>
      </c>
      <c r="BT118" s="123">
        <f>BT113</f>
        <v>0</v>
      </c>
      <c r="BU118" s="123">
        <f>BU113</f>
        <v>2000</v>
      </c>
      <c r="BW118" s="123">
        <f>BW113</f>
        <v>0</v>
      </c>
      <c r="BX118" s="123">
        <f>BX113</f>
        <v>2000</v>
      </c>
      <c r="BZ118" s="123">
        <f>BZ113</f>
        <v>1000</v>
      </c>
      <c r="CA118" s="123">
        <f>CA113</f>
        <v>3000</v>
      </c>
      <c r="CC118" s="123">
        <f>CC113</f>
        <v>0</v>
      </c>
      <c r="CD118" s="123">
        <f>CD113</f>
        <v>3000</v>
      </c>
      <c r="CF118" s="123">
        <f>CF113</f>
        <v>0</v>
      </c>
      <c r="CG118" s="123">
        <f>CG113</f>
        <v>3000</v>
      </c>
      <c r="CI118" s="123">
        <f>CI113</f>
        <v>0</v>
      </c>
      <c r="CJ118" s="123">
        <f>CJ113</f>
        <v>3000</v>
      </c>
      <c r="CL118" s="319">
        <f>CL113</f>
        <v>0</v>
      </c>
      <c r="CM118" s="123">
        <f>CM113</f>
        <v>3000</v>
      </c>
      <c r="CO118" s="123">
        <f>CO113</f>
        <v>0</v>
      </c>
      <c r="CP118" s="123">
        <f>CP113</f>
        <v>3000</v>
      </c>
      <c r="CR118" s="123">
        <f>CR113</f>
        <v>0</v>
      </c>
      <c r="CS118" s="123">
        <f>CS113</f>
        <v>3000</v>
      </c>
      <c r="CU118" s="123">
        <f>CU113</f>
        <v>-500</v>
      </c>
      <c r="CV118" s="123">
        <f>CV113</f>
        <v>2500</v>
      </c>
      <c r="CX118" s="123">
        <f>CX113</f>
        <v>0</v>
      </c>
      <c r="CY118" s="123">
        <f>CY113</f>
        <v>2500</v>
      </c>
      <c r="DA118" s="123">
        <f>DA113</f>
        <v>2449</v>
      </c>
      <c r="DC118" s="123">
        <f>DC113</f>
        <v>40000</v>
      </c>
      <c r="DE118" s="123">
        <f>DE113</f>
        <v>0</v>
      </c>
      <c r="DF118" s="123">
        <f>DF113</f>
        <v>40000</v>
      </c>
      <c r="DH118" s="123">
        <f>DH113</f>
        <v>0</v>
      </c>
      <c r="DI118" s="123">
        <f>DI113</f>
        <v>40000</v>
      </c>
      <c r="DK118" s="123">
        <f>DK113</f>
        <v>0</v>
      </c>
      <c r="DL118" s="123">
        <f>DL113</f>
        <v>40000</v>
      </c>
      <c r="DN118" s="123">
        <f>DN113</f>
        <v>0</v>
      </c>
      <c r="DO118" s="123">
        <f>DO113</f>
        <v>40000</v>
      </c>
      <c r="DQ118" s="123">
        <f>DQ113</f>
        <v>-3000</v>
      </c>
      <c r="DR118" s="123">
        <f>DR113</f>
        <v>37000</v>
      </c>
      <c r="DT118" s="123">
        <f>DT113</f>
        <v>0</v>
      </c>
      <c r="DU118" s="123">
        <f>DU113</f>
        <v>37000</v>
      </c>
      <c r="DW118" s="123">
        <f>DW113</f>
        <v>0</v>
      </c>
      <c r="DX118" s="123">
        <f>DX113</f>
        <v>37000</v>
      </c>
      <c r="DZ118" s="123">
        <f>DZ113</f>
        <v>0</v>
      </c>
      <c r="EA118" s="123">
        <f>EA113</f>
        <v>37000</v>
      </c>
      <c r="EC118" s="123">
        <f>EC113</f>
        <v>-18700</v>
      </c>
      <c r="ED118" s="123">
        <f>ED113</f>
        <v>18300</v>
      </c>
      <c r="EF118" s="123">
        <f>EF113</f>
        <v>0</v>
      </c>
      <c r="EG118" s="123">
        <f>EG113</f>
        <v>18300</v>
      </c>
      <c r="EI118" s="123">
        <f>EI113</f>
        <v>18138.86</v>
      </c>
      <c r="EK118" s="123">
        <f>EK113</f>
        <v>200000</v>
      </c>
      <c r="EM118" s="123">
        <f>EM113</f>
        <v>0</v>
      </c>
      <c r="EN118" s="123">
        <f>EN113</f>
        <v>200000</v>
      </c>
      <c r="EP118" s="123">
        <f>EP113</f>
        <v>50000</v>
      </c>
      <c r="EQ118" s="123">
        <f>EQ113</f>
        <v>250000</v>
      </c>
      <c r="ES118" s="123">
        <f>ES113</f>
        <v>0</v>
      </c>
      <c r="ET118" s="123">
        <f>ET113</f>
        <v>250000</v>
      </c>
      <c r="EV118" s="123">
        <f>EV113</f>
        <v>100000</v>
      </c>
      <c r="EW118" s="123">
        <f>EW113</f>
        <v>350000</v>
      </c>
      <c r="EY118" s="123">
        <f>EY113</f>
        <v>0</v>
      </c>
      <c r="EZ118" s="123">
        <f>EZ113</f>
        <v>350000</v>
      </c>
      <c r="FB118" s="123">
        <f>FB113</f>
        <v>50000</v>
      </c>
      <c r="FC118" s="123">
        <f>FC113</f>
        <v>400000</v>
      </c>
      <c r="FE118" s="123">
        <f>FE113</f>
        <v>0</v>
      </c>
      <c r="FF118" s="123">
        <f>FF113</f>
        <v>400000</v>
      </c>
      <c r="FH118" s="123">
        <f>FH113</f>
        <v>0</v>
      </c>
      <c r="FI118" s="123">
        <f>FI113</f>
        <v>400000</v>
      </c>
      <c r="FK118" s="123">
        <f>FK113</f>
        <v>-40000</v>
      </c>
      <c r="FL118" s="123">
        <f>FL113</f>
        <v>360000</v>
      </c>
      <c r="FN118" s="123">
        <f>FN113</f>
        <v>0</v>
      </c>
      <c r="FO118" s="123">
        <f>FO113</f>
        <v>360000</v>
      </c>
      <c r="FQ118" s="123">
        <v>0</v>
      </c>
      <c r="FR118" s="123">
        <v>360000</v>
      </c>
      <c r="FT118" s="123">
        <f>FT113</f>
        <v>352450.89</v>
      </c>
      <c r="FV118" s="123">
        <f>FV113</f>
        <v>30000</v>
      </c>
      <c r="FW118" s="235">
        <f t="shared" si="395"/>
        <v>8.511824157969923E-2</v>
      </c>
      <c r="FY118" s="123">
        <f>FY113</f>
        <v>0</v>
      </c>
      <c r="FZ118" s="123">
        <f>FZ113</f>
        <v>30000</v>
      </c>
      <c r="GB118" s="123">
        <f>GB113</f>
        <v>0</v>
      </c>
      <c r="GC118" s="123">
        <f>GC113</f>
        <v>30000</v>
      </c>
      <c r="GE118" s="123">
        <f>GE113</f>
        <v>0</v>
      </c>
      <c r="GF118" s="123">
        <f>GF113</f>
        <v>30000</v>
      </c>
      <c r="GH118" s="123">
        <f>GH113</f>
        <v>-3600</v>
      </c>
      <c r="GI118" s="123">
        <f>GI113</f>
        <v>26400</v>
      </c>
      <c r="GK118" s="123">
        <f>GK113</f>
        <v>-500</v>
      </c>
      <c r="GL118" s="123">
        <f>GL113</f>
        <v>25900</v>
      </c>
      <c r="GN118" s="123">
        <f>GN113</f>
        <v>20000</v>
      </c>
      <c r="GO118" s="123">
        <f>GO113</f>
        <v>45900</v>
      </c>
      <c r="GQ118" s="123">
        <f>GQ113</f>
        <v>0</v>
      </c>
      <c r="GR118" s="123">
        <f>GR113</f>
        <v>45900</v>
      </c>
      <c r="GT118" s="123">
        <f>GT113</f>
        <v>0</v>
      </c>
      <c r="GU118" s="123">
        <f>GU113</f>
        <v>45900</v>
      </c>
      <c r="GW118" s="123">
        <f>GW113</f>
        <v>0</v>
      </c>
      <c r="GX118" s="123">
        <f>GX113</f>
        <v>45900</v>
      </c>
      <c r="GZ118" s="123">
        <f>GZ113</f>
        <v>0</v>
      </c>
      <c r="HA118" s="431">
        <f>HA113</f>
        <v>45900</v>
      </c>
      <c r="HC118" s="123">
        <f>HC113</f>
        <v>45474.87</v>
      </c>
      <c r="HE118" s="123">
        <f>HE113</f>
        <v>30000</v>
      </c>
      <c r="HF118" s="235">
        <f t="shared" si="396"/>
        <v>0.65970501949758187</v>
      </c>
    </row>
    <row r="119" spans="1:214" ht="17.25" customHeight="1" thickTop="1" thickBot="1">
      <c r="A119" s="75" t="s">
        <v>165</v>
      </c>
      <c r="B119" s="76" t="s">
        <v>277</v>
      </c>
      <c r="C119" s="285" t="s">
        <v>166</v>
      </c>
      <c r="D119" s="167"/>
      <c r="E119" s="168"/>
      <c r="F119" s="167"/>
      <c r="G119" s="168"/>
      <c r="H119" s="167"/>
      <c r="I119" s="167"/>
      <c r="J119" s="169"/>
      <c r="K119" s="170"/>
      <c r="L119" s="349"/>
      <c r="M119" s="350"/>
      <c r="N119" s="350"/>
      <c r="Q119" s="349"/>
      <c r="R119" s="349"/>
      <c r="S119" s="349"/>
      <c r="T119" s="349"/>
      <c r="U119" s="155"/>
      <c r="Y119" s="349"/>
      <c r="AA119" s="349"/>
      <c r="AB119" s="349"/>
      <c r="AE119" s="349"/>
      <c r="AF119" s="182"/>
      <c r="AH119" s="349"/>
      <c r="AI119" s="17"/>
      <c r="AK119" s="349"/>
      <c r="AL119" s="193"/>
      <c r="AM119" s="17"/>
      <c r="AN119" s="17"/>
      <c r="AS119" s="349"/>
      <c r="AU119" s="349"/>
      <c r="AV119" s="349"/>
      <c r="AX119" s="349"/>
      <c r="AY119" s="349"/>
      <c r="BA119" s="349"/>
      <c r="BB119" s="349"/>
      <c r="BD119" s="349"/>
      <c r="BE119" s="349"/>
      <c r="BG119" s="349"/>
      <c r="BH119" s="349"/>
      <c r="BJ119" s="349"/>
      <c r="BK119" s="329"/>
      <c r="BM119" s="349"/>
      <c r="BN119" s="329"/>
      <c r="BO119" s="329"/>
      <c r="BQ119" s="349"/>
      <c r="BR119" s="349"/>
      <c r="BT119" s="349"/>
      <c r="BU119" s="349"/>
      <c r="BW119" s="349"/>
      <c r="BX119" s="349"/>
      <c r="BZ119" s="349"/>
      <c r="CA119" s="349"/>
      <c r="CC119" s="349"/>
      <c r="CD119" s="349"/>
      <c r="CF119" s="349"/>
      <c r="CG119" s="349"/>
      <c r="CI119" s="349"/>
      <c r="CJ119" s="349"/>
      <c r="CL119" s="121"/>
      <c r="CM119" s="349"/>
      <c r="CO119" s="349"/>
      <c r="CP119" s="349"/>
      <c r="CR119" s="349"/>
      <c r="CS119" s="349"/>
      <c r="CU119" s="349"/>
      <c r="CV119" s="349"/>
      <c r="CX119" s="349"/>
      <c r="CY119" s="349"/>
      <c r="DA119" s="121"/>
      <c r="DC119" s="124">
        <f>DC115</f>
        <v>378000</v>
      </c>
      <c r="DE119" s="124">
        <f>DE115</f>
        <v>0</v>
      </c>
      <c r="DF119" s="124">
        <f>DF115</f>
        <v>378000</v>
      </c>
      <c r="DH119" s="124">
        <f>DH115</f>
        <v>0</v>
      </c>
      <c r="DI119" s="124">
        <f>DI115</f>
        <v>378000</v>
      </c>
      <c r="DK119" s="124">
        <f>DK115+DK114</f>
        <v>866540.65999999992</v>
      </c>
      <c r="DL119" s="124">
        <f>DL115+DL114</f>
        <v>1244540.6599999999</v>
      </c>
      <c r="DN119" s="124">
        <f>DN115+DN114</f>
        <v>0</v>
      </c>
      <c r="DO119" s="124">
        <f>DO115+DO114</f>
        <v>1244540.6599999999</v>
      </c>
      <c r="DQ119" s="124">
        <f>DQ115+DQ114</f>
        <v>0</v>
      </c>
      <c r="DR119" s="124">
        <f>DR115+DR114</f>
        <v>1244540.6599999999</v>
      </c>
      <c r="DT119" s="124">
        <f>DT115+DT114</f>
        <v>0</v>
      </c>
      <c r="DU119" s="124">
        <f>DU115+DU114</f>
        <v>1244540.6599999999</v>
      </c>
      <c r="DW119" s="124">
        <f>DW115+DW114</f>
        <v>0</v>
      </c>
      <c r="DX119" s="124">
        <f>DX115+DX114</f>
        <v>1244540.6599999999</v>
      </c>
      <c r="DZ119" s="124">
        <f>DZ115+DZ114</f>
        <v>0</v>
      </c>
      <c r="EA119" s="124">
        <f>EA115+EA114</f>
        <v>1244540.6599999999</v>
      </c>
      <c r="EC119" s="124">
        <f>EC115+EC114</f>
        <v>0</v>
      </c>
      <c r="ED119" s="124">
        <f>ED115+ED114</f>
        <v>1244540.6599999999</v>
      </c>
      <c r="EF119" s="124">
        <f>EF115+EF114</f>
        <v>0</v>
      </c>
      <c r="EG119" s="124">
        <f>EG115+EG114</f>
        <v>1244540.6599999999</v>
      </c>
      <c r="EI119" s="124">
        <f>EI115+EI114</f>
        <v>1244540.6599999999</v>
      </c>
      <c r="EK119" s="124">
        <f>EK115+EK114</f>
        <v>157300</v>
      </c>
      <c r="EL119" s="377">
        <f>EK119/EI119-1</f>
        <v>-0.8736079864196642</v>
      </c>
      <c r="EM119" s="124">
        <f>EM115+EM114</f>
        <v>-7300</v>
      </c>
      <c r="EN119" s="124">
        <f>EN115+EN114</f>
        <v>150000</v>
      </c>
      <c r="EP119" s="124">
        <f>EP115+EP114</f>
        <v>0</v>
      </c>
      <c r="EQ119" s="124">
        <f>EQ115+EQ114</f>
        <v>150000</v>
      </c>
      <c r="ES119" s="124">
        <f>ES115+ES114</f>
        <v>0</v>
      </c>
      <c r="ET119" s="124">
        <f>ET115+ET114</f>
        <v>150000</v>
      </c>
      <c r="EV119" s="124">
        <f>EV115+EV114</f>
        <v>80000</v>
      </c>
      <c r="EW119" s="124">
        <f>EW115+EW114</f>
        <v>230000</v>
      </c>
      <c r="EY119" s="124">
        <f>EY115+EY114</f>
        <v>0</v>
      </c>
      <c r="EZ119" s="124">
        <f>EZ115+EZ114</f>
        <v>230000</v>
      </c>
      <c r="FB119" s="124">
        <f>FB115+FB114</f>
        <v>61000</v>
      </c>
      <c r="FC119" s="124">
        <f>FC115+FC114</f>
        <v>291000</v>
      </c>
      <c r="FE119" s="124">
        <f>FE115+FE114</f>
        <v>10000</v>
      </c>
      <c r="FF119" s="124">
        <f>FF115+FF114</f>
        <v>301000</v>
      </c>
      <c r="FH119" s="124">
        <f>FH115+FH114</f>
        <v>30000</v>
      </c>
      <c r="FI119" s="124">
        <f>FI115+FI114</f>
        <v>331000</v>
      </c>
      <c r="FK119" s="124">
        <f>FK115+FK114</f>
        <v>100000</v>
      </c>
      <c r="FL119" s="124">
        <f>FL115+FL114</f>
        <v>431000</v>
      </c>
      <c r="FN119" s="124">
        <f>FN115+FN114</f>
        <v>0</v>
      </c>
      <c r="FO119" s="124">
        <f>FO115+FO114</f>
        <v>431000</v>
      </c>
      <c r="FQ119" s="124">
        <v>0</v>
      </c>
      <c r="FR119" s="124">
        <v>431000</v>
      </c>
      <c r="FT119" s="124">
        <f>FT115+FT114</f>
        <v>411409.06</v>
      </c>
      <c r="FV119" s="124">
        <f>FV115+FV114</f>
        <v>50000</v>
      </c>
      <c r="FW119" s="235">
        <f t="shared" si="395"/>
        <v>0.12153354133717911</v>
      </c>
      <c r="FY119" s="124">
        <f>FY115+FY114</f>
        <v>0</v>
      </c>
      <c r="FZ119" s="124">
        <f>FZ115+FZ114</f>
        <v>50000</v>
      </c>
      <c r="GB119" s="124">
        <f>GB115+GB114</f>
        <v>0</v>
      </c>
      <c r="GC119" s="124">
        <f>GC115+GC114</f>
        <v>50000</v>
      </c>
      <c r="GE119" s="124">
        <f>GE115+GE114</f>
        <v>0</v>
      </c>
      <c r="GF119" s="124">
        <f>GF115+GF114</f>
        <v>50000</v>
      </c>
      <c r="GH119" s="124">
        <f>GH115+GH114</f>
        <v>0</v>
      </c>
      <c r="GI119" s="124">
        <f>GI115+GI114</f>
        <v>50000</v>
      </c>
      <c r="GK119" s="124">
        <f>GK115+GK114</f>
        <v>0</v>
      </c>
      <c r="GL119" s="124">
        <f>GL115+GL114</f>
        <v>50000</v>
      </c>
      <c r="GN119" s="124">
        <f>GN115+GN114</f>
        <v>0</v>
      </c>
      <c r="GO119" s="124">
        <f>GO115+GO114</f>
        <v>50000</v>
      </c>
      <c r="GQ119" s="124">
        <f>GQ115+GQ114</f>
        <v>-33100</v>
      </c>
      <c r="GR119" s="124">
        <f>GR115+GR114</f>
        <v>16900</v>
      </c>
      <c r="GT119" s="124">
        <f>GT115+GT114</f>
        <v>0</v>
      </c>
      <c r="GU119" s="124">
        <f>GU115+GU114</f>
        <v>16900</v>
      </c>
      <c r="GW119" s="124">
        <f>GW115+GW114</f>
        <v>0</v>
      </c>
      <c r="GX119" s="124">
        <f>GX115+GX114</f>
        <v>16900</v>
      </c>
      <c r="GZ119" s="124">
        <f>GZ115+GZ114</f>
        <v>0</v>
      </c>
      <c r="HA119" s="432">
        <f>HA115+HA114</f>
        <v>16900</v>
      </c>
      <c r="HC119" s="124">
        <f>HC115+HC114</f>
        <v>16867.400000000001</v>
      </c>
      <c r="HE119" s="124">
        <f>HE115+HE114</f>
        <v>0</v>
      </c>
      <c r="HF119" s="235">
        <f t="shared" si="396"/>
        <v>0</v>
      </c>
    </row>
    <row r="120" spans="1:214" ht="15.75" outlineLevel="1" thickTop="1">
      <c r="A120" s="1" t="s">
        <v>167</v>
      </c>
      <c r="B120" s="1" t="s">
        <v>146</v>
      </c>
      <c r="C120" s="4" t="s">
        <v>147</v>
      </c>
      <c r="D120" s="43">
        <v>2000</v>
      </c>
      <c r="E120" s="34">
        <v>0</v>
      </c>
      <c r="F120" s="43">
        <v>2000</v>
      </c>
      <c r="G120" s="34">
        <v>0</v>
      </c>
      <c r="H120" s="46">
        <v>0</v>
      </c>
      <c r="I120" s="36">
        <v>0</v>
      </c>
      <c r="J120" s="14"/>
      <c r="L120" s="118">
        <v>1000</v>
      </c>
      <c r="M120" s="17">
        <f t="shared" si="381"/>
        <v>-0.5</v>
      </c>
      <c r="N120" s="17" t="e">
        <f t="shared" si="382"/>
        <v>#DIV/0!</v>
      </c>
      <c r="Q120" s="118">
        <v>1000</v>
      </c>
      <c r="R120" s="15">
        <v>0</v>
      </c>
      <c r="S120" s="118">
        <v>1000</v>
      </c>
      <c r="T120" s="15">
        <f t="shared" ref="T120:T128" si="397">S120-Q120</f>
        <v>0</v>
      </c>
      <c r="U120" s="16">
        <f t="shared" ref="U120:U128" si="398">S120/Q120-1</f>
        <v>0</v>
      </c>
      <c r="Y120" s="118">
        <v>1000</v>
      </c>
      <c r="AA120" s="118">
        <v>0</v>
      </c>
      <c r="AB120" s="185">
        <f t="shared" ref="AB120:AB128" si="399">AA120-Y120</f>
        <v>-1000</v>
      </c>
      <c r="AC120" s="187">
        <f t="shared" ref="AC120:AC128" si="400">AA120-Y120</f>
        <v>-1000</v>
      </c>
      <c r="AD120" s="187"/>
      <c r="AE120" s="118">
        <v>0</v>
      </c>
      <c r="AF120" s="182"/>
      <c r="AH120" s="15">
        <v>0</v>
      </c>
      <c r="AK120" s="118">
        <v>0</v>
      </c>
      <c r="AS120" s="15">
        <f t="shared" ref="AS120:AS128" si="401">AR120+AK120</f>
        <v>0</v>
      </c>
      <c r="AV120" s="15">
        <f t="shared" ref="AV120:AV128" si="402">AS120+AU120</f>
        <v>0</v>
      </c>
      <c r="AX120" s="15"/>
      <c r="AY120" s="15">
        <f t="shared" ref="AY120:AY128" si="403">AV120+AX120</f>
        <v>0</v>
      </c>
      <c r="BB120" s="15">
        <f t="shared" ref="BB120:BB128" si="404">AY120+BA120</f>
        <v>0</v>
      </c>
      <c r="BD120" s="15"/>
      <c r="BE120" s="15">
        <f t="shared" ref="BE120:BE128" si="405">BB120+BD120</f>
        <v>0</v>
      </c>
      <c r="BG120" s="15"/>
      <c r="BH120" s="15">
        <f t="shared" ref="BH120:BH128" si="406">BE120+BG120</f>
        <v>0</v>
      </c>
      <c r="BM120" s="15"/>
      <c r="BQ120" s="15"/>
      <c r="BR120" s="15"/>
      <c r="BT120" s="15"/>
      <c r="BU120" s="15"/>
      <c r="BW120" s="15"/>
      <c r="BX120" s="15"/>
      <c r="BZ120" s="15"/>
      <c r="CA120" s="15"/>
      <c r="CC120" s="15"/>
      <c r="CD120" s="15"/>
      <c r="CF120" s="15"/>
      <c r="CG120" s="15"/>
      <c r="CI120" s="15"/>
      <c r="CJ120" s="15"/>
      <c r="CM120" s="15"/>
      <c r="CP120" s="15"/>
      <c r="CS120" s="15"/>
      <c r="CV120" s="15"/>
      <c r="CY120" s="15"/>
      <c r="DE120" s="15"/>
      <c r="DF120" s="15">
        <f t="shared" ref="DF120:DF128" si="407">DC120+DE120</f>
        <v>0</v>
      </c>
      <c r="DH120" s="15"/>
      <c r="DI120" s="15">
        <f t="shared" ref="DI120:DI128" si="408">DF120+DH120</f>
        <v>0</v>
      </c>
      <c r="DK120" s="15"/>
      <c r="DL120" s="15">
        <f t="shared" ref="DL120:DL128" si="409">DI120+DK120</f>
        <v>0</v>
      </c>
      <c r="DN120" s="15"/>
      <c r="DO120" s="15">
        <f t="shared" ref="DO120:DO128" si="410">DL120+DN120</f>
        <v>0</v>
      </c>
      <c r="DQ120" s="15"/>
      <c r="DR120" s="15">
        <f t="shared" ref="DR120:DR128" si="411">DO120+DQ120</f>
        <v>0</v>
      </c>
      <c r="DT120" s="15"/>
      <c r="DU120" s="15">
        <f t="shared" ref="DU120:DU128" si="412">DR120+DT120</f>
        <v>0</v>
      </c>
      <c r="DW120" s="15"/>
      <c r="DX120" s="15">
        <f t="shared" ref="DX120:DX128" si="413">DU120+DW120</f>
        <v>0</v>
      </c>
      <c r="DZ120" s="15"/>
      <c r="EA120" s="15">
        <f t="shared" ref="EA120:EA128" si="414">DX120+DZ120</f>
        <v>0</v>
      </c>
      <c r="EC120" s="15"/>
      <c r="ED120" s="15">
        <f t="shared" ref="ED120:ED128" si="415">EA120+EC120</f>
        <v>0</v>
      </c>
      <c r="EF120" s="15"/>
      <c r="EG120" s="15">
        <f t="shared" ref="EG120:EG128" si="416">ED120+EF120</f>
        <v>0</v>
      </c>
      <c r="EK120" s="15"/>
      <c r="EM120" s="15"/>
      <c r="EN120" s="15">
        <f t="shared" ref="EN120:EN128" si="417">EK120+EM120</f>
        <v>0</v>
      </c>
      <c r="EP120" s="15"/>
      <c r="EQ120" s="15">
        <f t="shared" ref="EQ120:EQ128" si="418">EN120+EP120</f>
        <v>0</v>
      </c>
      <c r="ES120" s="15"/>
      <c r="ET120" s="15">
        <f t="shared" ref="ET120:ET128" si="419">EQ120+ES120</f>
        <v>0</v>
      </c>
      <c r="EW120" s="15">
        <f t="shared" ref="EW120:EW128" si="420">ET120+EV120</f>
        <v>0</v>
      </c>
      <c r="EZ120" s="15">
        <f t="shared" ref="EZ120:EZ128" si="421">EW120+EY120</f>
        <v>0</v>
      </c>
      <c r="FC120" s="15">
        <f t="shared" ref="FC120:FC128" si="422">EZ120+FB120</f>
        <v>0</v>
      </c>
      <c r="FF120" s="15">
        <f t="shared" ref="FF120:FF128" si="423">FC120+FE120</f>
        <v>0</v>
      </c>
      <c r="FI120" s="15">
        <f t="shared" ref="FI120:FI128" si="424">FF120+FH120</f>
        <v>0</v>
      </c>
      <c r="FL120" s="15">
        <f t="shared" ref="FL120:FL128" si="425">FI120+FK120</f>
        <v>0</v>
      </c>
      <c r="FO120" s="15">
        <f t="shared" ref="FO120:FO128" si="426">FL120+FN120</f>
        <v>0</v>
      </c>
      <c r="FR120" s="15">
        <v>0</v>
      </c>
      <c r="FW120" s="235" t="e">
        <f t="shared" si="395"/>
        <v>#DIV/0!</v>
      </c>
      <c r="FZ120" s="15">
        <f t="shared" ref="FZ120:FZ128" si="427">FV120+FY120</f>
        <v>0</v>
      </c>
      <c r="GB120" s="15"/>
      <c r="GC120" s="15">
        <f t="shared" ref="GC120:GC128" si="428">FZ120+GB120</f>
        <v>0</v>
      </c>
      <c r="GE120" s="15"/>
      <c r="GF120" s="15">
        <f t="shared" ref="GF120:GF128" si="429">GC120+GE120</f>
        <v>0</v>
      </c>
      <c r="GH120" s="15"/>
      <c r="GI120" s="15">
        <f t="shared" ref="GI120:GI128" si="430">GF120+GH120</f>
        <v>0</v>
      </c>
      <c r="GK120" s="15"/>
      <c r="GL120" s="15">
        <f t="shared" ref="GL120:GL128" si="431">GI120+GK120</f>
        <v>0</v>
      </c>
      <c r="GN120" s="227">
        <v>100</v>
      </c>
      <c r="GO120" s="15">
        <f t="shared" ref="GO120:GO128" si="432">GL120+GN120</f>
        <v>100</v>
      </c>
      <c r="GQ120" s="15"/>
      <c r="GR120" s="15">
        <f t="shared" ref="GR120:GR128" si="433">GO120+GQ120</f>
        <v>100</v>
      </c>
      <c r="GT120" s="15"/>
      <c r="GU120" s="15">
        <f t="shared" ref="GU120:GU128" si="434">GR120+GT120</f>
        <v>100</v>
      </c>
      <c r="GW120" s="15"/>
      <c r="GX120" s="15">
        <f t="shared" ref="GX120:GX128" si="435">GU120+GW120</f>
        <v>100</v>
      </c>
      <c r="GZ120" s="15"/>
      <c r="HA120" s="189">
        <f t="shared" ref="HA120:HA128" si="436">GX120+GZ120</f>
        <v>100</v>
      </c>
      <c r="HC120" s="189">
        <v>96</v>
      </c>
      <c r="HE120" s="15">
        <v>0</v>
      </c>
      <c r="HF120" s="235">
        <f t="shared" si="396"/>
        <v>0</v>
      </c>
    </row>
    <row r="121" spans="1:214" outlineLevel="1">
      <c r="A121" s="1" t="s">
        <v>167</v>
      </c>
      <c r="B121" s="1" t="s">
        <v>157</v>
      </c>
      <c r="C121" s="4" t="s">
        <v>158</v>
      </c>
      <c r="D121" s="43">
        <v>2100</v>
      </c>
      <c r="E121" s="34">
        <v>22.86</v>
      </c>
      <c r="F121" s="43">
        <v>2100</v>
      </c>
      <c r="G121" s="34">
        <v>22.86</v>
      </c>
      <c r="H121" s="46">
        <v>480</v>
      </c>
      <c r="I121" s="36">
        <v>1000</v>
      </c>
      <c r="K121" t="s">
        <v>332</v>
      </c>
      <c r="L121" s="118">
        <v>2500</v>
      </c>
      <c r="M121" s="17">
        <f t="shared" si="381"/>
        <v>0.19047619047619047</v>
      </c>
      <c r="N121" s="17">
        <f t="shared" si="382"/>
        <v>1.5</v>
      </c>
      <c r="Q121" s="118">
        <v>2500</v>
      </c>
      <c r="R121" s="15">
        <v>732</v>
      </c>
      <c r="S121" s="118">
        <v>1500</v>
      </c>
      <c r="T121" s="15">
        <f t="shared" si="397"/>
        <v>-1000</v>
      </c>
      <c r="U121" s="16">
        <f t="shared" si="398"/>
        <v>-0.4</v>
      </c>
      <c r="Y121" s="118">
        <v>1500</v>
      </c>
      <c r="AA121" s="118">
        <v>1500</v>
      </c>
      <c r="AB121" s="185">
        <f t="shared" si="399"/>
        <v>0</v>
      </c>
      <c r="AC121" s="187">
        <f t="shared" si="400"/>
        <v>0</v>
      </c>
      <c r="AD121" s="187"/>
      <c r="AE121" s="118">
        <v>3100</v>
      </c>
      <c r="AF121" s="182">
        <f t="shared" si="383"/>
        <v>1600</v>
      </c>
      <c r="AH121" s="15">
        <v>3008</v>
      </c>
      <c r="AI121" s="17">
        <f t="shared" ref="AI121:AI123" si="437">AH121/AE121</f>
        <v>0.9703225806451613</v>
      </c>
      <c r="AK121" s="118">
        <v>3100</v>
      </c>
      <c r="AS121" s="15">
        <f t="shared" si="401"/>
        <v>3100</v>
      </c>
      <c r="AV121" s="15">
        <f t="shared" si="402"/>
        <v>3100</v>
      </c>
      <c r="AX121" s="15"/>
      <c r="AY121" s="15">
        <f t="shared" si="403"/>
        <v>3100</v>
      </c>
      <c r="BB121" s="15">
        <f t="shared" si="404"/>
        <v>3100</v>
      </c>
      <c r="BD121" s="15">
        <v>-1500</v>
      </c>
      <c r="BE121" s="15">
        <f t="shared" si="405"/>
        <v>1600</v>
      </c>
      <c r="BG121" s="15">
        <v>5000</v>
      </c>
      <c r="BH121" s="15">
        <f t="shared" si="406"/>
        <v>6600</v>
      </c>
      <c r="BJ121" s="15">
        <v>6248</v>
      </c>
      <c r="BK121" s="235">
        <f t="shared" ref="BK121:BK123" si="438">BJ121/BH121</f>
        <v>0.94666666666666666</v>
      </c>
      <c r="BM121" s="15">
        <f>2*1250+3500</f>
        <v>6000</v>
      </c>
      <c r="BN121" s="235">
        <f t="shared" ref="BN121:BN128" si="439">BM121/BJ121</f>
        <v>0.96030729833546735</v>
      </c>
      <c r="BO121" s="235">
        <f t="shared" ref="BO121:BO128" si="440">BM121/BH121</f>
        <v>0.90909090909090906</v>
      </c>
      <c r="BQ121" s="15"/>
      <c r="BR121" s="15">
        <f t="shared" ref="BR121:BR123" si="441">BM121+BQ121</f>
        <v>6000</v>
      </c>
      <c r="BT121" s="15"/>
      <c r="BU121" s="15">
        <f>BR121+BT121</f>
        <v>6000</v>
      </c>
      <c r="BW121" s="15"/>
      <c r="BX121" s="15">
        <f>BU121+BW121</f>
        <v>6000</v>
      </c>
      <c r="BZ121" s="15"/>
      <c r="CA121" s="15">
        <f>BX121+BZ121</f>
        <v>6000</v>
      </c>
      <c r="CC121" s="15"/>
      <c r="CD121" s="15">
        <f>CA121+CC121</f>
        <v>6000</v>
      </c>
      <c r="CF121" s="15"/>
      <c r="CG121" s="15">
        <f>CD121+CF121</f>
        <v>6000</v>
      </c>
      <c r="CI121" s="15"/>
      <c r="CJ121" s="15">
        <f>CG121+CI121</f>
        <v>6000</v>
      </c>
      <c r="CM121" s="15">
        <f>CJ121+CL121</f>
        <v>6000</v>
      </c>
      <c r="CO121" s="15">
        <v>-3000</v>
      </c>
      <c r="CP121" s="15">
        <f>CM121+CO121</f>
        <v>3000</v>
      </c>
      <c r="CS121" s="15">
        <f>CP121+CR121</f>
        <v>3000</v>
      </c>
      <c r="CU121" s="227">
        <v>-1000</v>
      </c>
      <c r="CV121" s="15">
        <f>CS121+CU121</f>
        <v>2000</v>
      </c>
      <c r="CX121" s="227"/>
      <c r="CY121" s="15">
        <f>CV121+CX121</f>
        <v>2000</v>
      </c>
      <c r="DA121" s="15">
        <v>1997</v>
      </c>
      <c r="DC121" s="15">
        <v>2000</v>
      </c>
      <c r="DE121" s="227">
        <v>3200</v>
      </c>
      <c r="DF121" s="15">
        <f t="shared" si="407"/>
        <v>5200</v>
      </c>
      <c r="DH121" s="15"/>
      <c r="DI121" s="15">
        <f t="shared" si="408"/>
        <v>5200</v>
      </c>
      <c r="DK121" s="15"/>
      <c r="DL121" s="15">
        <f t="shared" si="409"/>
        <v>5200</v>
      </c>
      <c r="DN121" s="15"/>
      <c r="DO121" s="15">
        <f t="shared" si="410"/>
        <v>5200</v>
      </c>
      <c r="DQ121" s="15"/>
      <c r="DR121" s="15">
        <f t="shared" si="411"/>
        <v>5200</v>
      </c>
      <c r="DT121" s="227">
        <v>1800</v>
      </c>
      <c r="DU121" s="15">
        <f t="shared" si="412"/>
        <v>7000</v>
      </c>
      <c r="DW121" s="15"/>
      <c r="DX121" s="15">
        <f t="shared" si="413"/>
        <v>7000</v>
      </c>
      <c r="DZ121" s="15"/>
      <c r="EA121" s="15">
        <f t="shared" si="414"/>
        <v>7000</v>
      </c>
      <c r="EC121" s="227">
        <v>-2000</v>
      </c>
      <c r="ED121" s="15">
        <f t="shared" si="415"/>
        <v>5000</v>
      </c>
      <c r="EF121" s="15"/>
      <c r="EG121" s="15">
        <f t="shared" si="416"/>
        <v>5000</v>
      </c>
      <c r="EI121" s="15">
        <v>4704.8</v>
      </c>
      <c r="EK121" s="15">
        <v>5000</v>
      </c>
      <c r="EM121" s="15"/>
      <c r="EN121" s="15">
        <f t="shared" si="417"/>
        <v>5000</v>
      </c>
      <c r="EP121" s="15"/>
      <c r="EQ121" s="15">
        <f t="shared" si="418"/>
        <v>5000</v>
      </c>
      <c r="ES121" s="15"/>
      <c r="ET121" s="15">
        <f t="shared" si="419"/>
        <v>5000</v>
      </c>
      <c r="EW121" s="15">
        <f t="shared" si="420"/>
        <v>5000</v>
      </c>
      <c r="EZ121" s="15">
        <f t="shared" si="421"/>
        <v>5000</v>
      </c>
      <c r="FC121" s="15">
        <f t="shared" si="422"/>
        <v>5000</v>
      </c>
      <c r="FF121" s="15">
        <f t="shared" si="423"/>
        <v>5000</v>
      </c>
      <c r="FI121" s="15">
        <f t="shared" si="424"/>
        <v>5000</v>
      </c>
      <c r="FK121" s="227">
        <v>-1500</v>
      </c>
      <c r="FL121" s="15">
        <f t="shared" si="425"/>
        <v>3500</v>
      </c>
      <c r="FN121" s="227">
        <v>2300</v>
      </c>
      <c r="FO121" s="15">
        <f t="shared" si="426"/>
        <v>5800</v>
      </c>
      <c r="FQ121" s="227">
        <v>3850</v>
      </c>
      <c r="FR121" s="15">
        <v>9650</v>
      </c>
      <c r="FT121" s="15">
        <v>9631</v>
      </c>
      <c r="FV121" s="15">
        <v>10000</v>
      </c>
      <c r="FW121" s="235">
        <f t="shared" si="395"/>
        <v>1.0383137784238397</v>
      </c>
      <c r="FZ121" s="15">
        <f t="shared" si="427"/>
        <v>10000</v>
      </c>
      <c r="GB121" s="15"/>
      <c r="GC121" s="15">
        <f t="shared" si="428"/>
        <v>10000</v>
      </c>
      <c r="GE121" s="15"/>
      <c r="GF121" s="15">
        <f t="shared" si="429"/>
        <v>10000</v>
      </c>
      <c r="GH121" s="15"/>
      <c r="GI121" s="15">
        <f t="shared" si="430"/>
        <v>10000</v>
      </c>
      <c r="GK121" s="15"/>
      <c r="GL121" s="15">
        <f t="shared" si="431"/>
        <v>10000</v>
      </c>
      <c r="GN121" s="15"/>
      <c r="GO121" s="15">
        <f t="shared" si="432"/>
        <v>10000</v>
      </c>
      <c r="GQ121" s="15"/>
      <c r="GR121" s="15">
        <f t="shared" si="433"/>
        <v>10000</v>
      </c>
      <c r="GT121" s="227">
        <v>-5300</v>
      </c>
      <c r="GU121" s="15">
        <f t="shared" si="434"/>
        <v>4700</v>
      </c>
      <c r="GW121" s="227">
        <v>600</v>
      </c>
      <c r="GX121" s="15">
        <f t="shared" si="435"/>
        <v>5300</v>
      </c>
      <c r="GZ121" s="227">
        <v>12700</v>
      </c>
      <c r="HA121" s="189">
        <f t="shared" si="436"/>
        <v>18000</v>
      </c>
      <c r="HC121" s="189">
        <v>17932</v>
      </c>
      <c r="HE121" s="15">
        <v>9000</v>
      </c>
      <c r="HF121" s="235">
        <f t="shared" si="396"/>
        <v>0.50189605175105956</v>
      </c>
    </row>
    <row r="122" spans="1:214" outlineLevel="1">
      <c r="A122" s="1" t="s">
        <v>167</v>
      </c>
      <c r="B122" s="1" t="s">
        <v>159</v>
      </c>
      <c r="C122" s="4" t="s">
        <v>160</v>
      </c>
      <c r="D122" s="43">
        <v>67000</v>
      </c>
      <c r="E122" s="34">
        <v>17.93</v>
      </c>
      <c r="F122" s="43">
        <v>67000</v>
      </c>
      <c r="G122" s="34">
        <v>17.93</v>
      </c>
      <c r="H122" s="46">
        <v>12010</v>
      </c>
      <c r="I122" s="36">
        <v>40000</v>
      </c>
      <c r="J122" s="14"/>
      <c r="K122" t="s">
        <v>332</v>
      </c>
      <c r="L122" s="118">
        <v>48800</v>
      </c>
      <c r="M122" s="17">
        <f t="shared" si="381"/>
        <v>-0.27164179104477615</v>
      </c>
      <c r="N122" s="17">
        <f t="shared" si="382"/>
        <v>0.21999999999999997</v>
      </c>
      <c r="Q122" s="118">
        <v>48800</v>
      </c>
      <c r="R122" s="15">
        <v>6224</v>
      </c>
      <c r="S122" s="118">
        <v>30000</v>
      </c>
      <c r="T122" s="15">
        <f t="shared" si="397"/>
        <v>-18800</v>
      </c>
      <c r="U122" s="16">
        <f t="shared" si="398"/>
        <v>-0.38524590163934425</v>
      </c>
      <c r="Y122" s="118">
        <v>30000</v>
      </c>
      <c r="AA122" s="118">
        <v>25000</v>
      </c>
      <c r="AB122" s="185">
        <f t="shared" si="399"/>
        <v>-5000</v>
      </c>
      <c r="AC122" s="187">
        <f t="shared" si="400"/>
        <v>-5000</v>
      </c>
      <c r="AD122" s="187"/>
      <c r="AE122" s="118">
        <v>25000</v>
      </c>
      <c r="AF122" s="182"/>
      <c r="AH122" s="15">
        <v>23224.32</v>
      </c>
      <c r="AI122" s="17">
        <f t="shared" si="437"/>
        <v>0.92897280000000004</v>
      </c>
      <c r="AK122" s="118">
        <v>25000</v>
      </c>
      <c r="AS122" s="15">
        <f t="shared" si="401"/>
        <v>25000</v>
      </c>
      <c r="AV122" s="15">
        <f t="shared" si="402"/>
        <v>25000</v>
      </c>
      <c r="AX122" s="15"/>
      <c r="AY122" s="15">
        <f t="shared" si="403"/>
        <v>25000</v>
      </c>
      <c r="BB122" s="15">
        <f t="shared" si="404"/>
        <v>25000</v>
      </c>
      <c r="BD122" s="15"/>
      <c r="BE122" s="15">
        <f t="shared" si="405"/>
        <v>25000</v>
      </c>
      <c r="BG122" s="15">
        <v>1500</v>
      </c>
      <c r="BH122" s="15">
        <f t="shared" si="406"/>
        <v>26500</v>
      </c>
      <c r="BJ122" s="15">
        <v>26263.33</v>
      </c>
      <c r="BK122" s="235">
        <f t="shared" si="438"/>
        <v>0.99106905660377365</v>
      </c>
      <c r="BM122" s="196">
        <f>12*7100</f>
        <v>85200</v>
      </c>
      <c r="BN122" s="235">
        <f t="shared" si="439"/>
        <v>3.2440669176376336</v>
      </c>
      <c r="BO122" s="235">
        <f t="shared" si="440"/>
        <v>3.2150943396226417</v>
      </c>
      <c r="BQ122" s="15"/>
      <c r="BR122" s="15">
        <f t="shared" si="441"/>
        <v>85200</v>
      </c>
      <c r="BT122" s="15"/>
      <c r="BU122" s="15">
        <f>BR122+BT122</f>
        <v>85200</v>
      </c>
      <c r="BW122" s="15"/>
      <c r="BX122" s="15">
        <f>BU122+BW122</f>
        <v>85200</v>
      </c>
      <c r="BZ122" s="15"/>
      <c r="CA122" s="15">
        <f>BX122+BZ122</f>
        <v>85200</v>
      </c>
      <c r="CC122" s="15"/>
      <c r="CD122" s="15">
        <f>CA122+CC122</f>
        <v>85200</v>
      </c>
      <c r="CF122" s="15"/>
      <c r="CG122" s="15">
        <f>CD122+CF122</f>
        <v>85200</v>
      </c>
      <c r="CI122" s="15"/>
      <c r="CJ122" s="15">
        <f>CG122+CI122</f>
        <v>85200</v>
      </c>
      <c r="CL122" s="15">
        <v>10000</v>
      </c>
      <c r="CM122" s="15">
        <f>CJ122+CL122</f>
        <v>95200</v>
      </c>
      <c r="CO122" s="15">
        <v>10000</v>
      </c>
      <c r="CP122" s="15">
        <f>CM122+CO122</f>
        <v>105200</v>
      </c>
      <c r="CS122" s="15">
        <f>CP122+CR122</f>
        <v>105200</v>
      </c>
      <c r="CU122" s="227">
        <v>8800</v>
      </c>
      <c r="CV122" s="15">
        <f>CS122+CU122</f>
        <v>114000</v>
      </c>
      <c r="CX122" s="227"/>
      <c r="CY122" s="15">
        <f>CV122+CX122</f>
        <v>114000</v>
      </c>
      <c r="DA122" s="15">
        <v>113862</v>
      </c>
      <c r="DC122" s="15">
        <v>110000</v>
      </c>
      <c r="DE122" s="227">
        <v>-3200</v>
      </c>
      <c r="DF122" s="15">
        <f t="shared" si="407"/>
        <v>106800</v>
      </c>
      <c r="DH122" s="15"/>
      <c r="DI122" s="15">
        <f t="shared" si="408"/>
        <v>106800</v>
      </c>
      <c r="DK122" s="15"/>
      <c r="DL122" s="15">
        <f t="shared" si="409"/>
        <v>106800</v>
      </c>
      <c r="DN122" s="15"/>
      <c r="DO122" s="15">
        <f t="shared" si="410"/>
        <v>106800</v>
      </c>
      <c r="DQ122" s="227">
        <v>-37800</v>
      </c>
      <c r="DR122" s="15">
        <f t="shared" si="411"/>
        <v>69000</v>
      </c>
      <c r="DT122" s="15"/>
      <c r="DU122" s="15">
        <f t="shared" si="412"/>
        <v>69000</v>
      </c>
      <c r="DW122" s="15"/>
      <c r="DX122" s="15">
        <f t="shared" si="413"/>
        <v>69000</v>
      </c>
      <c r="DZ122" s="227">
        <v>8000</v>
      </c>
      <c r="EA122" s="15">
        <f t="shared" si="414"/>
        <v>77000</v>
      </c>
      <c r="EC122" s="227">
        <v>10000</v>
      </c>
      <c r="ED122" s="15">
        <f t="shared" si="415"/>
        <v>87000</v>
      </c>
      <c r="EF122" s="227">
        <v>10600</v>
      </c>
      <c r="EG122" s="15">
        <f t="shared" si="416"/>
        <v>97600</v>
      </c>
      <c r="EI122" s="15">
        <v>97519</v>
      </c>
      <c r="EK122" s="15">
        <v>100000</v>
      </c>
      <c r="EM122" s="15"/>
      <c r="EN122" s="15">
        <f t="shared" si="417"/>
        <v>100000</v>
      </c>
      <c r="EP122" s="15"/>
      <c r="EQ122" s="15">
        <f t="shared" si="418"/>
        <v>100000</v>
      </c>
      <c r="ES122" s="15"/>
      <c r="ET122" s="15">
        <f t="shared" si="419"/>
        <v>100000</v>
      </c>
      <c r="EW122" s="15">
        <f t="shared" si="420"/>
        <v>100000</v>
      </c>
      <c r="EZ122" s="15">
        <f t="shared" si="421"/>
        <v>100000</v>
      </c>
      <c r="FC122" s="15">
        <f t="shared" si="422"/>
        <v>100000</v>
      </c>
      <c r="FF122" s="15">
        <f t="shared" si="423"/>
        <v>100000</v>
      </c>
      <c r="FI122" s="15">
        <f t="shared" si="424"/>
        <v>100000</v>
      </c>
      <c r="FK122" s="227">
        <v>-15000</v>
      </c>
      <c r="FL122" s="15">
        <f t="shared" si="425"/>
        <v>85000</v>
      </c>
      <c r="FO122" s="15">
        <f t="shared" si="426"/>
        <v>85000</v>
      </c>
      <c r="FR122" s="15">
        <v>85000</v>
      </c>
      <c r="FT122" s="15">
        <v>84719.52</v>
      </c>
      <c r="FV122" s="15">
        <v>85000</v>
      </c>
      <c r="FW122" s="235">
        <f t="shared" si="395"/>
        <v>1.0033106892012609</v>
      </c>
      <c r="FZ122" s="15">
        <f t="shared" si="427"/>
        <v>85000</v>
      </c>
      <c r="GB122" s="15"/>
      <c r="GC122" s="15">
        <f t="shared" si="428"/>
        <v>85000</v>
      </c>
      <c r="GE122" s="15"/>
      <c r="GF122" s="15">
        <f t="shared" si="429"/>
        <v>85000</v>
      </c>
      <c r="GH122" s="15"/>
      <c r="GI122" s="15">
        <f t="shared" si="430"/>
        <v>85000</v>
      </c>
      <c r="GK122" s="15"/>
      <c r="GL122" s="15">
        <f t="shared" si="431"/>
        <v>85000</v>
      </c>
      <c r="GN122" s="15"/>
      <c r="GO122" s="15">
        <f t="shared" si="432"/>
        <v>85000</v>
      </c>
      <c r="GQ122" s="15"/>
      <c r="GR122" s="15">
        <f t="shared" si="433"/>
        <v>85000</v>
      </c>
      <c r="GT122" s="15"/>
      <c r="GU122" s="15">
        <f t="shared" si="434"/>
        <v>85000</v>
      </c>
      <c r="GW122" s="15"/>
      <c r="GX122" s="15">
        <f t="shared" si="435"/>
        <v>85000</v>
      </c>
      <c r="GZ122" s="15"/>
      <c r="HA122" s="189">
        <f t="shared" si="436"/>
        <v>85000</v>
      </c>
      <c r="HC122" s="189">
        <v>47181.17</v>
      </c>
      <c r="HE122" s="15">
        <v>55000</v>
      </c>
      <c r="HF122" s="235">
        <f t="shared" si="396"/>
        <v>1.165719290132059</v>
      </c>
    </row>
    <row r="123" spans="1:214" outlineLevel="1">
      <c r="A123" s="1" t="s">
        <v>167</v>
      </c>
      <c r="B123" s="1" t="s">
        <v>161</v>
      </c>
      <c r="C123" s="4" t="s">
        <v>162</v>
      </c>
      <c r="D123" s="43">
        <v>5500</v>
      </c>
      <c r="E123" s="34">
        <v>86.33</v>
      </c>
      <c r="F123" s="43">
        <v>5500</v>
      </c>
      <c r="G123" s="34">
        <v>86.33</v>
      </c>
      <c r="H123" s="46">
        <v>4747.8900000000003</v>
      </c>
      <c r="I123" s="36">
        <v>6000</v>
      </c>
      <c r="J123" s="14"/>
      <c r="K123" t="s">
        <v>332</v>
      </c>
      <c r="L123" s="118">
        <v>8000</v>
      </c>
      <c r="M123" s="17">
        <f t="shared" si="381"/>
        <v>0.45454545454545459</v>
      </c>
      <c r="N123" s="17">
        <f t="shared" si="382"/>
        <v>0.33333333333333326</v>
      </c>
      <c r="Q123" s="118">
        <v>8000</v>
      </c>
      <c r="R123" s="15">
        <v>3008</v>
      </c>
      <c r="S123" s="118">
        <v>7000</v>
      </c>
      <c r="T123" s="15">
        <f t="shared" si="397"/>
        <v>-1000</v>
      </c>
      <c r="U123" s="16">
        <f t="shared" si="398"/>
        <v>-0.125</v>
      </c>
      <c r="Y123" s="118">
        <v>7000</v>
      </c>
      <c r="AA123" s="118">
        <v>7000</v>
      </c>
      <c r="AB123" s="185">
        <f t="shared" si="399"/>
        <v>0</v>
      </c>
      <c r="AC123" s="187">
        <f t="shared" si="400"/>
        <v>0</v>
      </c>
      <c r="AD123" s="187"/>
      <c r="AE123" s="118">
        <v>7000</v>
      </c>
      <c r="AF123" s="182"/>
      <c r="AH123" s="15">
        <v>5929.1</v>
      </c>
      <c r="AI123" s="17">
        <f t="shared" si="437"/>
        <v>0.84701428571428572</v>
      </c>
      <c r="AK123" s="118">
        <v>6100</v>
      </c>
      <c r="AS123" s="15">
        <f t="shared" si="401"/>
        <v>6100</v>
      </c>
      <c r="AV123" s="15">
        <f t="shared" si="402"/>
        <v>6100</v>
      </c>
      <c r="AX123" s="15"/>
      <c r="AY123" s="15">
        <f t="shared" si="403"/>
        <v>6100</v>
      </c>
      <c r="BB123" s="15">
        <f t="shared" si="404"/>
        <v>6100</v>
      </c>
      <c r="BD123" s="15">
        <v>2900</v>
      </c>
      <c r="BE123" s="15">
        <f t="shared" si="405"/>
        <v>9000</v>
      </c>
      <c r="BG123" s="15"/>
      <c r="BH123" s="15">
        <f t="shared" si="406"/>
        <v>9000</v>
      </c>
      <c r="BJ123" s="15">
        <v>5210</v>
      </c>
      <c r="BK123" s="235">
        <f t="shared" si="438"/>
        <v>0.5788888888888889</v>
      </c>
      <c r="BM123" s="196">
        <f>850*12</f>
        <v>10200</v>
      </c>
      <c r="BN123" s="235">
        <f t="shared" si="439"/>
        <v>1.9577735124760076</v>
      </c>
      <c r="BO123" s="235">
        <f t="shared" si="440"/>
        <v>1.1333333333333333</v>
      </c>
      <c r="BQ123" s="15"/>
      <c r="BR123" s="15">
        <f t="shared" si="441"/>
        <v>10200</v>
      </c>
      <c r="BT123" s="15"/>
      <c r="BU123" s="15">
        <f>BR123+BT123</f>
        <v>10200</v>
      </c>
      <c r="BW123" s="15"/>
      <c r="BX123" s="15">
        <f>BU123+BW123</f>
        <v>10200</v>
      </c>
      <c r="BZ123" s="15"/>
      <c r="CA123" s="15">
        <f>BX123+BZ123</f>
        <v>10200</v>
      </c>
      <c r="CC123" s="15"/>
      <c r="CD123" s="15">
        <f>CA123+CC123</f>
        <v>10200</v>
      </c>
      <c r="CF123" s="15"/>
      <c r="CG123" s="15">
        <f>CD123+CF123</f>
        <v>10200</v>
      </c>
      <c r="CI123" s="15"/>
      <c r="CJ123" s="15">
        <f>CG123+CI123</f>
        <v>10200</v>
      </c>
      <c r="CM123" s="15">
        <f>CJ123+CL123</f>
        <v>10200</v>
      </c>
      <c r="CO123" s="15">
        <v>3000</v>
      </c>
      <c r="CP123" s="15">
        <f>CM123+CO123</f>
        <v>13200</v>
      </c>
      <c r="CS123" s="15">
        <f>CP123+CR123</f>
        <v>13200</v>
      </c>
      <c r="CU123" s="227">
        <v>-2000</v>
      </c>
      <c r="CV123" s="15">
        <f>CS123+CU123</f>
        <v>11200</v>
      </c>
      <c r="CX123" s="227"/>
      <c r="CY123" s="15">
        <f>CV123+CX123</f>
        <v>11200</v>
      </c>
      <c r="DA123" s="15">
        <v>11097.8</v>
      </c>
      <c r="DC123" s="15">
        <v>11000</v>
      </c>
      <c r="DE123" s="15"/>
      <c r="DF123" s="15">
        <f t="shared" si="407"/>
        <v>11000</v>
      </c>
      <c r="DH123" s="15"/>
      <c r="DI123" s="15">
        <f t="shared" si="408"/>
        <v>11000</v>
      </c>
      <c r="DK123" s="15"/>
      <c r="DL123" s="15">
        <f t="shared" si="409"/>
        <v>11000</v>
      </c>
      <c r="DN123" s="15"/>
      <c r="DO123" s="15">
        <f t="shared" si="410"/>
        <v>11000</v>
      </c>
      <c r="DQ123" s="15"/>
      <c r="DR123" s="15">
        <f t="shared" si="411"/>
        <v>11000</v>
      </c>
      <c r="DT123" s="15"/>
      <c r="DU123" s="15">
        <f t="shared" si="412"/>
        <v>11000</v>
      </c>
      <c r="DW123" s="15"/>
      <c r="DX123" s="15">
        <f t="shared" si="413"/>
        <v>11000</v>
      </c>
      <c r="DZ123" s="15"/>
      <c r="EA123" s="15">
        <f t="shared" si="414"/>
        <v>11000</v>
      </c>
      <c r="EC123" s="15"/>
      <c r="ED123" s="15">
        <f t="shared" si="415"/>
        <v>11000</v>
      </c>
      <c r="EF123" s="227">
        <v>-3000</v>
      </c>
      <c r="EG123" s="15">
        <f t="shared" si="416"/>
        <v>8000</v>
      </c>
      <c r="EI123" s="15">
        <v>7606.1</v>
      </c>
      <c r="EK123" s="15">
        <v>9000</v>
      </c>
      <c r="EM123" s="15"/>
      <c r="EN123" s="15">
        <f t="shared" si="417"/>
        <v>9000</v>
      </c>
      <c r="EP123" s="15"/>
      <c r="EQ123" s="15">
        <f t="shared" si="418"/>
        <v>9000</v>
      </c>
      <c r="ES123" s="15"/>
      <c r="ET123" s="15">
        <f t="shared" si="419"/>
        <v>9000</v>
      </c>
      <c r="EW123" s="15">
        <f t="shared" si="420"/>
        <v>9000</v>
      </c>
      <c r="EZ123" s="15">
        <f t="shared" si="421"/>
        <v>9000</v>
      </c>
      <c r="FC123" s="15">
        <f t="shared" si="422"/>
        <v>9000</v>
      </c>
      <c r="FF123" s="15">
        <f t="shared" si="423"/>
        <v>9000</v>
      </c>
      <c r="FI123" s="15">
        <f t="shared" si="424"/>
        <v>9000</v>
      </c>
      <c r="FK123" s="227">
        <v>-3500</v>
      </c>
      <c r="FL123" s="15">
        <f t="shared" si="425"/>
        <v>5500</v>
      </c>
      <c r="FO123" s="15">
        <f t="shared" si="426"/>
        <v>5500</v>
      </c>
      <c r="FR123" s="15">
        <v>5500</v>
      </c>
      <c r="FT123" s="15">
        <v>5326.59</v>
      </c>
      <c r="FV123" s="15">
        <v>6000</v>
      </c>
      <c r="FW123" s="235">
        <f t="shared" si="395"/>
        <v>1.1264242226264833</v>
      </c>
      <c r="FZ123" s="15">
        <f t="shared" si="427"/>
        <v>6000</v>
      </c>
      <c r="GB123" s="15"/>
      <c r="GC123" s="15">
        <f t="shared" si="428"/>
        <v>6000</v>
      </c>
      <c r="GE123" s="15"/>
      <c r="GF123" s="15">
        <f t="shared" si="429"/>
        <v>6000</v>
      </c>
      <c r="GH123" s="15"/>
      <c r="GI123" s="15">
        <f t="shared" si="430"/>
        <v>6000</v>
      </c>
      <c r="GK123" s="15"/>
      <c r="GL123" s="15">
        <f t="shared" si="431"/>
        <v>6000</v>
      </c>
      <c r="GN123" s="15"/>
      <c r="GO123" s="15">
        <f t="shared" si="432"/>
        <v>6000</v>
      </c>
      <c r="GQ123" s="227">
        <v>3000</v>
      </c>
      <c r="GR123" s="15">
        <f t="shared" si="433"/>
        <v>9000</v>
      </c>
      <c r="GT123" s="15"/>
      <c r="GU123" s="15">
        <f t="shared" si="434"/>
        <v>9000</v>
      </c>
      <c r="GW123" s="15"/>
      <c r="GX123" s="15">
        <f t="shared" si="435"/>
        <v>9000</v>
      </c>
      <c r="GZ123" s="15"/>
      <c r="HA123" s="189">
        <f t="shared" si="436"/>
        <v>9000</v>
      </c>
      <c r="HC123" s="189">
        <v>8057.91</v>
      </c>
      <c r="HE123" s="15">
        <v>8000</v>
      </c>
      <c r="HF123" s="235">
        <f t="shared" si="396"/>
        <v>0.9928132729206457</v>
      </c>
    </row>
    <row r="124" spans="1:214" outlineLevel="1">
      <c r="A124" s="1" t="s">
        <v>167</v>
      </c>
      <c r="B124" s="1" t="s">
        <v>115</v>
      </c>
      <c r="C124" s="4" t="s">
        <v>116</v>
      </c>
      <c r="D124" s="43">
        <v>0</v>
      </c>
      <c r="E124" s="34">
        <v>0</v>
      </c>
      <c r="F124" s="43">
        <v>1000</v>
      </c>
      <c r="G124" s="34">
        <v>95</v>
      </c>
      <c r="H124" s="46">
        <v>950</v>
      </c>
      <c r="I124" s="36">
        <v>950</v>
      </c>
      <c r="J124" s="14"/>
      <c r="L124" s="118">
        <v>1000</v>
      </c>
      <c r="M124" s="17">
        <f t="shared" si="381"/>
        <v>0</v>
      </c>
      <c r="N124" s="17">
        <f t="shared" si="382"/>
        <v>5.2631578947368363E-2</v>
      </c>
      <c r="Q124" s="118">
        <v>1000</v>
      </c>
      <c r="R124" s="15">
        <v>0</v>
      </c>
      <c r="S124" s="118">
        <v>1000</v>
      </c>
      <c r="T124" s="15">
        <f t="shared" si="397"/>
        <v>0</v>
      </c>
      <c r="U124" s="16">
        <f t="shared" si="398"/>
        <v>0</v>
      </c>
      <c r="Y124" s="118">
        <v>1000</v>
      </c>
      <c r="AA124" s="118">
        <v>0</v>
      </c>
      <c r="AB124" s="185">
        <f t="shared" si="399"/>
        <v>-1000</v>
      </c>
      <c r="AC124" s="187">
        <f t="shared" si="400"/>
        <v>-1000</v>
      </c>
      <c r="AD124" s="187"/>
      <c r="AE124" s="118">
        <v>0</v>
      </c>
      <c r="AF124" s="182"/>
      <c r="AH124" s="15">
        <v>0</v>
      </c>
      <c r="AK124" s="118">
        <v>0</v>
      </c>
      <c r="AS124" s="15">
        <f t="shared" si="401"/>
        <v>0</v>
      </c>
      <c r="AV124" s="15">
        <f t="shared" si="402"/>
        <v>0</v>
      </c>
      <c r="AX124" s="15"/>
      <c r="AY124" s="15">
        <f t="shared" si="403"/>
        <v>0</v>
      </c>
      <c r="BB124" s="15">
        <f t="shared" si="404"/>
        <v>0</v>
      </c>
      <c r="BD124" s="15"/>
      <c r="BE124" s="15">
        <f t="shared" si="405"/>
        <v>0</v>
      </c>
      <c r="BG124" s="15"/>
      <c r="BH124" s="15">
        <f t="shared" si="406"/>
        <v>0</v>
      </c>
      <c r="BM124" s="15"/>
      <c r="BN124" s="235" t="e">
        <f t="shared" si="439"/>
        <v>#DIV/0!</v>
      </c>
      <c r="BO124" s="235" t="e">
        <f t="shared" si="440"/>
        <v>#DIV/0!</v>
      </c>
      <c r="BQ124" s="15"/>
      <c r="BR124" s="15"/>
      <c r="BT124" s="15"/>
      <c r="BU124" s="15"/>
      <c r="BW124" s="15"/>
      <c r="BX124" s="15"/>
      <c r="BZ124" s="15"/>
      <c r="CA124" s="15"/>
      <c r="CC124" s="15"/>
      <c r="CD124" s="15"/>
      <c r="CF124" s="15"/>
      <c r="CG124" s="15"/>
      <c r="CI124" s="15"/>
      <c r="CJ124" s="15"/>
      <c r="CM124" s="15"/>
      <c r="CP124" s="15"/>
      <c r="CS124" s="15"/>
      <c r="CV124" s="15"/>
      <c r="CY124" s="15"/>
      <c r="DE124" s="15"/>
      <c r="DF124" s="15">
        <f t="shared" si="407"/>
        <v>0</v>
      </c>
      <c r="DH124" s="15"/>
      <c r="DI124" s="15">
        <f t="shared" si="408"/>
        <v>0</v>
      </c>
      <c r="DK124" s="15"/>
      <c r="DL124" s="15">
        <f t="shared" si="409"/>
        <v>0</v>
      </c>
      <c r="DN124" s="15"/>
      <c r="DO124" s="15">
        <f t="shared" si="410"/>
        <v>0</v>
      </c>
      <c r="DQ124" s="15"/>
      <c r="DR124" s="15">
        <f t="shared" si="411"/>
        <v>0</v>
      </c>
      <c r="DT124" s="15"/>
      <c r="DU124" s="15">
        <f t="shared" si="412"/>
        <v>0</v>
      </c>
      <c r="DW124" s="15"/>
      <c r="DX124" s="15">
        <f t="shared" si="413"/>
        <v>0</v>
      </c>
      <c r="DZ124" s="15"/>
      <c r="EA124" s="15">
        <f t="shared" si="414"/>
        <v>0</v>
      </c>
      <c r="EC124" s="15"/>
      <c r="ED124" s="15">
        <f t="shared" si="415"/>
        <v>0</v>
      </c>
      <c r="EF124" s="15"/>
      <c r="EG124" s="15">
        <f t="shared" si="416"/>
        <v>0</v>
      </c>
      <c r="EK124" s="15"/>
      <c r="EM124" s="15"/>
      <c r="EN124" s="15">
        <f t="shared" si="417"/>
        <v>0</v>
      </c>
      <c r="EP124" s="15"/>
      <c r="EQ124" s="15">
        <f t="shared" si="418"/>
        <v>0</v>
      </c>
      <c r="ES124" s="15"/>
      <c r="ET124" s="15">
        <f t="shared" si="419"/>
        <v>0</v>
      </c>
      <c r="EW124" s="15">
        <f t="shared" si="420"/>
        <v>0</v>
      </c>
      <c r="EZ124" s="15">
        <f t="shared" si="421"/>
        <v>0</v>
      </c>
      <c r="FC124" s="15">
        <f t="shared" si="422"/>
        <v>0</v>
      </c>
      <c r="FF124" s="15">
        <f t="shared" si="423"/>
        <v>0</v>
      </c>
      <c r="FI124" s="15">
        <f t="shared" si="424"/>
        <v>0</v>
      </c>
      <c r="FL124" s="15">
        <f t="shared" si="425"/>
        <v>0</v>
      </c>
      <c r="FO124" s="15">
        <f t="shared" si="426"/>
        <v>0</v>
      </c>
      <c r="FR124" s="15">
        <v>0</v>
      </c>
      <c r="FT124" s="15">
        <v>0</v>
      </c>
      <c r="FV124" s="15">
        <v>0</v>
      </c>
      <c r="FW124" s="235" t="e">
        <f t="shared" si="395"/>
        <v>#DIV/0!</v>
      </c>
      <c r="FZ124" s="15">
        <f t="shared" si="427"/>
        <v>0</v>
      </c>
      <c r="GB124" s="15"/>
      <c r="GC124" s="15">
        <f t="shared" si="428"/>
        <v>0</v>
      </c>
      <c r="GE124" s="15"/>
      <c r="GF124" s="15">
        <f t="shared" si="429"/>
        <v>0</v>
      </c>
      <c r="GH124" s="15"/>
      <c r="GI124" s="15">
        <f t="shared" si="430"/>
        <v>0</v>
      </c>
      <c r="GK124" s="15"/>
      <c r="GL124" s="15">
        <f t="shared" si="431"/>
        <v>0</v>
      </c>
      <c r="GN124" s="15"/>
      <c r="GO124" s="15">
        <f t="shared" si="432"/>
        <v>0</v>
      </c>
      <c r="GQ124" s="15"/>
      <c r="GR124" s="15">
        <f t="shared" si="433"/>
        <v>0</v>
      </c>
      <c r="GT124" s="15"/>
      <c r="GU124" s="15">
        <f t="shared" si="434"/>
        <v>0</v>
      </c>
      <c r="GW124" s="15"/>
      <c r="GX124" s="15">
        <f t="shared" si="435"/>
        <v>0</v>
      </c>
      <c r="GZ124" s="15"/>
      <c r="HA124" s="189">
        <f t="shared" si="436"/>
        <v>0</v>
      </c>
      <c r="HE124" s="15">
        <v>0</v>
      </c>
      <c r="HF124" s="235" t="e">
        <f t="shared" si="396"/>
        <v>#DIV/0!</v>
      </c>
    </row>
    <row r="125" spans="1:214" outlineLevel="1">
      <c r="A125" s="1" t="s">
        <v>167</v>
      </c>
      <c r="B125" s="1" t="s">
        <v>117</v>
      </c>
      <c r="C125" s="4" t="s">
        <v>118</v>
      </c>
      <c r="D125" s="43">
        <v>0</v>
      </c>
      <c r="E125" s="34">
        <v>0</v>
      </c>
      <c r="F125" s="43">
        <v>2393</v>
      </c>
      <c r="G125" s="34">
        <v>100</v>
      </c>
      <c r="H125" s="46">
        <v>2393</v>
      </c>
      <c r="I125" s="36">
        <v>4000</v>
      </c>
      <c r="J125" s="14"/>
      <c r="L125" s="118">
        <v>5000</v>
      </c>
      <c r="M125" s="17">
        <f t="shared" si="381"/>
        <v>1.0894274968658588</v>
      </c>
      <c r="N125" s="17">
        <f t="shared" si="382"/>
        <v>0.25</v>
      </c>
      <c r="Q125" s="118">
        <v>5000</v>
      </c>
      <c r="R125" s="15">
        <v>484</v>
      </c>
      <c r="S125" s="118">
        <v>3000</v>
      </c>
      <c r="T125" s="15">
        <f t="shared" si="397"/>
        <v>-2000</v>
      </c>
      <c r="U125" s="16">
        <f t="shared" si="398"/>
        <v>-0.4</v>
      </c>
      <c r="Y125" s="118">
        <v>3000</v>
      </c>
      <c r="AA125" s="118">
        <v>3000</v>
      </c>
      <c r="AB125" s="185">
        <f t="shared" si="399"/>
        <v>0</v>
      </c>
      <c r="AC125" s="187">
        <f t="shared" si="400"/>
        <v>0</v>
      </c>
      <c r="AD125" s="187"/>
      <c r="AE125" s="118">
        <v>3000</v>
      </c>
      <c r="AF125" s="182"/>
      <c r="AH125" s="15">
        <v>2565</v>
      </c>
      <c r="AI125" s="17">
        <f t="shared" ref="AI125:AI128" si="442">AH125/AE125</f>
        <v>0.85499999999999998</v>
      </c>
      <c r="AK125" s="118">
        <v>4000</v>
      </c>
      <c r="AS125" s="15">
        <f t="shared" si="401"/>
        <v>4000</v>
      </c>
      <c r="AV125" s="15">
        <f t="shared" si="402"/>
        <v>4000</v>
      </c>
      <c r="AX125" s="15"/>
      <c r="AY125" s="15">
        <f t="shared" si="403"/>
        <v>4000</v>
      </c>
      <c r="BB125" s="15">
        <f t="shared" si="404"/>
        <v>4000</v>
      </c>
      <c r="BD125" s="15">
        <v>-2000</v>
      </c>
      <c r="BE125" s="15">
        <f t="shared" si="405"/>
        <v>2000</v>
      </c>
      <c r="BG125" s="15"/>
      <c r="BH125" s="15">
        <f t="shared" si="406"/>
        <v>2000</v>
      </c>
      <c r="BJ125" s="15">
        <v>950</v>
      </c>
      <c r="BK125" s="235">
        <f t="shared" ref="BK125" si="443">BJ125/BH125</f>
        <v>0.47499999999999998</v>
      </c>
      <c r="BM125" s="15">
        <v>1000</v>
      </c>
      <c r="BN125" s="235">
        <f t="shared" si="439"/>
        <v>1.0526315789473684</v>
      </c>
      <c r="BO125" s="235">
        <f t="shared" si="440"/>
        <v>0.5</v>
      </c>
      <c r="BQ125" s="15"/>
      <c r="BR125" s="15">
        <f t="shared" ref="BR125:BR128" si="444">BM125+BQ125</f>
        <v>1000</v>
      </c>
      <c r="BT125" s="15"/>
      <c r="BU125" s="15">
        <f>BR125+BT125</f>
        <v>1000</v>
      </c>
      <c r="BW125" s="15"/>
      <c r="BX125" s="15">
        <f>BU125+BW125</f>
        <v>1000</v>
      </c>
      <c r="BZ125" s="15"/>
      <c r="CA125" s="15">
        <f>BX125+BZ125</f>
        <v>1000</v>
      </c>
      <c r="CC125" s="15"/>
      <c r="CD125" s="15">
        <f>CA125+CC125</f>
        <v>1000</v>
      </c>
      <c r="CF125" s="15"/>
      <c r="CG125" s="15">
        <f>CD125+CF125</f>
        <v>1000</v>
      </c>
      <c r="CI125" s="15"/>
      <c r="CJ125" s="15">
        <f>CG125+CI125</f>
        <v>1000</v>
      </c>
      <c r="CM125" s="15">
        <f>CJ125+CL125</f>
        <v>1000</v>
      </c>
      <c r="CP125" s="15">
        <f>CM125+CO125</f>
        <v>1000</v>
      </c>
      <c r="CS125" s="15">
        <f>CP125+CR125</f>
        <v>1000</v>
      </c>
      <c r="CU125" s="227">
        <v>-1000</v>
      </c>
      <c r="CV125" s="15">
        <f>CS125+CU125</f>
        <v>0</v>
      </c>
      <c r="CX125" s="227"/>
      <c r="CY125" s="15">
        <f>CV125+CX125</f>
        <v>0</v>
      </c>
      <c r="DC125" s="15">
        <v>2000</v>
      </c>
      <c r="DE125" s="15"/>
      <c r="DF125" s="15">
        <f t="shared" si="407"/>
        <v>2000</v>
      </c>
      <c r="DH125" s="15"/>
      <c r="DI125" s="15">
        <f t="shared" si="408"/>
        <v>2000</v>
      </c>
      <c r="DK125" s="15"/>
      <c r="DL125" s="15">
        <f t="shared" si="409"/>
        <v>2000</v>
      </c>
      <c r="DN125" s="15"/>
      <c r="DO125" s="15">
        <f t="shared" si="410"/>
        <v>2000</v>
      </c>
      <c r="DQ125" s="15"/>
      <c r="DR125" s="15">
        <f t="shared" si="411"/>
        <v>2000</v>
      </c>
      <c r="DT125" s="15"/>
      <c r="DU125" s="15">
        <f t="shared" si="412"/>
        <v>2000</v>
      </c>
      <c r="DW125" s="15"/>
      <c r="DX125" s="15">
        <f t="shared" si="413"/>
        <v>2000</v>
      </c>
      <c r="DZ125" s="15"/>
      <c r="EA125" s="15">
        <f t="shared" si="414"/>
        <v>2000</v>
      </c>
      <c r="EC125" s="227">
        <v>-2000</v>
      </c>
      <c r="ED125" s="15">
        <f t="shared" si="415"/>
        <v>0</v>
      </c>
      <c r="EF125" s="15"/>
      <c r="EG125" s="15">
        <f t="shared" si="416"/>
        <v>0</v>
      </c>
      <c r="EK125" s="15"/>
      <c r="EM125" s="15"/>
      <c r="EN125" s="15">
        <f t="shared" si="417"/>
        <v>0</v>
      </c>
      <c r="EP125" s="15"/>
      <c r="EQ125" s="15">
        <f t="shared" si="418"/>
        <v>0</v>
      </c>
      <c r="ES125" s="15"/>
      <c r="ET125" s="15">
        <f t="shared" si="419"/>
        <v>0</v>
      </c>
      <c r="EW125" s="15">
        <f t="shared" si="420"/>
        <v>0</v>
      </c>
      <c r="EZ125" s="15">
        <f t="shared" si="421"/>
        <v>0</v>
      </c>
      <c r="FB125" s="227">
        <v>25000</v>
      </c>
      <c r="FC125" s="15">
        <f t="shared" si="422"/>
        <v>25000</v>
      </c>
      <c r="FF125" s="15">
        <f t="shared" si="423"/>
        <v>25000</v>
      </c>
      <c r="FI125" s="15">
        <f t="shared" si="424"/>
        <v>25000</v>
      </c>
      <c r="FK125" s="227">
        <v>-10000</v>
      </c>
      <c r="FL125" s="15">
        <f t="shared" si="425"/>
        <v>15000</v>
      </c>
      <c r="FO125" s="15">
        <f t="shared" si="426"/>
        <v>15000</v>
      </c>
      <c r="FR125" s="15">
        <v>15000</v>
      </c>
      <c r="FT125" s="15">
        <v>8373.2000000000007</v>
      </c>
      <c r="FV125" s="15">
        <v>5000</v>
      </c>
      <c r="FW125" s="235">
        <f t="shared" si="395"/>
        <v>0.59714326661252559</v>
      </c>
      <c r="FZ125" s="15">
        <f t="shared" si="427"/>
        <v>5000</v>
      </c>
      <c r="GB125" s="15"/>
      <c r="GC125" s="15">
        <f t="shared" si="428"/>
        <v>5000</v>
      </c>
      <c r="GE125" s="15"/>
      <c r="GF125" s="15">
        <f t="shared" si="429"/>
        <v>5000</v>
      </c>
      <c r="GH125" s="15"/>
      <c r="GI125" s="15">
        <f t="shared" si="430"/>
        <v>5000</v>
      </c>
      <c r="GK125" s="15"/>
      <c r="GL125" s="15">
        <f t="shared" si="431"/>
        <v>5000</v>
      </c>
      <c r="GN125" s="15"/>
      <c r="GO125" s="15">
        <f t="shared" si="432"/>
        <v>5000</v>
      </c>
      <c r="GQ125" s="15"/>
      <c r="GR125" s="15">
        <f t="shared" si="433"/>
        <v>5000</v>
      </c>
      <c r="GT125" s="15"/>
      <c r="GU125" s="15">
        <f t="shared" si="434"/>
        <v>5000</v>
      </c>
      <c r="GW125" s="15"/>
      <c r="GX125" s="15">
        <f t="shared" si="435"/>
        <v>5000</v>
      </c>
      <c r="GZ125" s="15"/>
      <c r="HA125" s="189">
        <f t="shared" si="436"/>
        <v>5000</v>
      </c>
      <c r="HC125" s="189">
        <v>0</v>
      </c>
      <c r="HE125" s="15">
        <v>2000</v>
      </c>
      <c r="HF125" s="235" t="e">
        <f t="shared" si="396"/>
        <v>#DIV/0!</v>
      </c>
    </row>
    <row r="126" spans="1:214" outlineLevel="1">
      <c r="A126" s="1" t="s">
        <v>167</v>
      </c>
      <c r="B126" s="1" t="s">
        <v>148</v>
      </c>
      <c r="C126" s="4" t="s">
        <v>149</v>
      </c>
      <c r="D126" s="43">
        <v>0</v>
      </c>
      <c r="E126" s="34">
        <v>0</v>
      </c>
      <c r="F126" s="43">
        <v>504</v>
      </c>
      <c r="G126" s="34">
        <v>100</v>
      </c>
      <c r="H126" s="46">
        <v>504</v>
      </c>
      <c r="I126" s="36">
        <v>504</v>
      </c>
      <c r="J126" s="14"/>
      <c r="L126" s="118">
        <v>500</v>
      </c>
      <c r="M126" s="17">
        <f t="shared" si="381"/>
        <v>-7.9365079365079083E-3</v>
      </c>
      <c r="N126" s="17">
        <f t="shared" si="382"/>
        <v>-7.9365079365079083E-3</v>
      </c>
      <c r="Q126" s="118">
        <v>500</v>
      </c>
      <c r="R126" s="15">
        <v>0</v>
      </c>
      <c r="S126" s="118">
        <v>0</v>
      </c>
      <c r="T126" s="15">
        <f t="shared" si="397"/>
        <v>-500</v>
      </c>
      <c r="U126" s="16">
        <f t="shared" si="398"/>
        <v>-1</v>
      </c>
      <c r="Y126" s="118">
        <v>600</v>
      </c>
      <c r="AA126" s="118">
        <v>600</v>
      </c>
      <c r="AB126" s="185">
        <f t="shared" si="399"/>
        <v>0</v>
      </c>
      <c r="AC126" s="187">
        <f t="shared" si="400"/>
        <v>0</v>
      </c>
      <c r="AD126" s="187"/>
      <c r="AE126" s="118">
        <v>600</v>
      </c>
      <c r="AF126" s="182"/>
      <c r="AH126" s="15">
        <v>528</v>
      </c>
      <c r="AI126" s="17">
        <f t="shared" si="442"/>
        <v>0.88</v>
      </c>
      <c r="AK126" s="118">
        <v>500</v>
      </c>
      <c r="AS126" s="15">
        <f t="shared" si="401"/>
        <v>500</v>
      </c>
      <c r="AV126" s="15">
        <f t="shared" si="402"/>
        <v>500</v>
      </c>
      <c r="AX126" s="15"/>
      <c r="AY126" s="15">
        <f t="shared" si="403"/>
        <v>500</v>
      </c>
      <c r="BB126" s="15">
        <f t="shared" si="404"/>
        <v>500</v>
      </c>
      <c r="BD126" s="15"/>
      <c r="BE126" s="15">
        <f t="shared" si="405"/>
        <v>500</v>
      </c>
      <c r="BG126" s="15">
        <v>-500</v>
      </c>
      <c r="BH126" s="15">
        <f t="shared" si="406"/>
        <v>0</v>
      </c>
      <c r="BJ126" s="15">
        <v>0</v>
      </c>
      <c r="BM126" s="15">
        <v>0</v>
      </c>
      <c r="BN126" s="235" t="e">
        <f t="shared" si="439"/>
        <v>#DIV/0!</v>
      </c>
      <c r="BO126" s="235" t="e">
        <f t="shared" si="440"/>
        <v>#DIV/0!</v>
      </c>
      <c r="BQ126" s="15"/>
      <c r="BR126" s="15">
        <f t="shared" si="444"/>
        <v>0</v>
      </c>
      <c r="BT126" s="15"/>
      <c r="BU126" s="15">
        <f>BR126+BT126</f>
        <v>0</v>
      </c>
      <c r="BW126" s="15"/>
      <c r="BX126" s="15">
        <f>BU126+BW126</f>
        <v>0</v>
      </c>
      <c r="BZ126" s="15"/>
      <c r="CA126" s="15">
        <f>BX126+BZ126</f>
        <v>0</v>
      </c>
      <c r="CC126" s="15"/>
      <c r="CD126" s="15">
        <f>CA126+CC126</f>
        <v>0</v>
      </c>
      <c r="CF126" s="15"/>
      <c r="CG126" s="15">
        <f>CD126+CF126</f>
        <v>0</v>
      </c>
      <c r="CI126" s="15"/>
      <c r="CJ126" s="15">
        <f>CG126+CI126</f>
        <v>0</v>
      </c>
      <c r="CM126" s="15">
        <f>CJ126+CL126</f>
        <v>0</v>
      </c>
      <c r="CP126" s="15">
        <f>CM126+CO126</f>
        <v>0</v>
      </c>
      <c r="CS126" s="15">
        <f>CP126+CR126</f>
        <v>0</v>
      </c>
      <c r="CV126" s="15">
        <f>CS126+CU126</f>
        <v>0</v>
      </c>
      <c r="CY126" s="15">
        <f>CV126+CX126</f>
        <v>0</v>
      </c>
      <c r="DC126" s="15">
        <v>0</v>
      </c>
      <c r="DE126" s="15"/>
      <c r="DF126" s="15">
        <f t="shared" si="407"/>
        <v>0</v>
      </c>
      <c r="DH126" s="15"/>
      <c r="DI126" s="15">
        <f t="shared" si="408"/>
        <v>0</v>
      </c>
      <c r="DK126" s="15"/>
      <c r="DL126" s="15">
        <f t="shared" si="409"/>
        <v>0</v>
      </c>
      <c r="DN126" s="15"/>
      <c r="DO126" s="15">
        <f t="shared" si="410"/>
        <v>0</v>
      </c>
      <c r="DQ126" s="15"/>
      <c r="DR126" s="15">
        <f t="shared" si="411"/>
        <v>0</v>
      </c>
      <c r="DT126" s="15"/>
      <c r="DU126" s="15">
        <f t="shared" si="412"/>
        <v>0</v>
      </c>
      <c r="DW126" s="15"/>
      <c r="DX126" s="15">
        <f t="shared" si="413"/>
        <v>0</v>
      </c>
      <c r="DZ126" s="15"/>
      <c r="EA126" s="15">
        <f t="shared" si="414"/>
        <v>0</v>
      </c>
      <c r="EC126" s="15"/>
      <c r="ED126" s="15">
        <f t="shared" si="415"/>
        <v>0</v>
      </c>
      <c r="EF126" s="15"/>
      <c r="EG126" s="15">
        <f t="shared" si="416"/>
        <v>0</v>
      </c>
      <c r="EK126" s="15"/>
      <c r="EM126" s="15"/>
      <c r="EN126" s="15">
        <f t="shared" si="417"/>
        <v>0</v>
      </c>
      <c r="EP126" s="15"/>
      <c r="EQ126" s="15">
        <f t="shared" si="418"/>
        <v>0</v>
      </c>
      <c r="ES126" s="15"/>
      <c r="ET126" s="15">
        <f t="shared" si="419"/>
        <v>0</v>
      </c>
      <c r="EW126" s="15">
        <f t="shared" si="420"/>
        <v>0</v>
      </c>
      <c r="EZ126" s="15">
        <f t="shared" si="421"/>
        <v>0</v>
      </c>
      <c r="FC126" s="15">
        <f t="shared" si="422"/>
        <v>0</v>
      </c>
      <c r="FF126" s="15">
        <f t="shared" si="423"/>
        <v>0</v>
      </c>
      <c r="FI126" s="15">
        <f t="shared" si="424"/>
        <v>0</v>
      </c>
      <c r="FL126" s="15">
        <f t="shared" si="425"/>
        <v>0</v>
      </c>
      <c r="FO126" s="15">
        <f t="shared" si="426"/>
        <v>0</v>
      </c>
      <c r="FR126" s="15">
        <v>0</v>
      </c>
      <c r="FW126" s="235" t="e">
        <f t="shared" si="395"/>
        <v>#DIV/0!</v>
      </c>
      <c r="FZ126" s="15">
        <f t="shared" si="427"/>
        <v>0</v>
      </c>
      <c r="GB126" s="15"/>
      <c r="GC126" s="15">
        <f t="shared" si="428"/>
        <v>0</v>
      </c>
      <c r="GE126" s="15"/>
      <c r="GF126" s="15">
        <f t="shared" si="429"/>
        <v>0</v>
      </c>
      <c r="GH126" s="15"/>
      <c r="GI126" s="15">
        <f t="shared" si="430"/>
        <v>0</v>
      </c>
      <c r="GK126" s="15"/>
      <c r="GL126" s="15">
        <f t="shared" si="431"/>
        <v>0</v>
      </c>
      <c r="GN126" s="15"/>
      <c r="GO126" s="15">
        <f t="shared" si="432"/>
        <v>0</v>
      </c>
      <c r="GQ126" s="15"/>
      <c r="GR126" s="15">
        <f t="shared" si="433"/>
        <v>0</v>
      </c>
      <c r="GT126" s="15"/>
      <c r="GU126" s="15">
        <f t="shared" si="434"/>
        <v>0</v>
      </c>
      <c r="GW126" s="15"/>
      <c r="GX126" s="15">
        <f t="shared" si="435"/>
        <v>0</v>
      </c>
      <c r="GZ126" s="15"/>
      <c r="HA126" s="189">
        <f t="shared" si="436"/>
        <v>0</v>
      </c>
      <c r="HC126" s="189">
        <v>0</v>
      </c>
      <c r="HE126" s="15">
        <v>0</v>
      </c>
      <c r="HF126" s="235" t="e">
        <f t="shared" si="396"/>
        <v>#DIV/0!</v>
      </c>
    </row>
    <row r="127" spans="1:214" outlineLevel="1">
      <c r="A127" s="1" t="s">
        <v>167</v>
      </c>
      <c r="B127" s="1" t="s">
        <v>150</v>
      </c>
      <c r="C127" s="4" t="s">
        <v>151</v>
      </c>
      <c r="D127" s="43">
        <v>1000</v>
      </c>
      <c r="E127" s="34">
        <v>0</v>
      </c>
      <c r="F127" s="43">
        <v>1000</v>
      </c>
      <c r="G127" s="34">
        <v>0</v>
      </c>
      <c r="H127" s="46">
        <v>0</v>
      </c>
      <c r="I127" s="36">
        <v>0</v>
      </c>
      <c r="J127" s="14"/>
      <c r="L127" s="118">
        <v>1000</v>
      </c>
      <c r="M127" s="17">
        <f t="shared" si="381"/>
        <v>0</v>
      </c>
      <c r="N127" s="17" t="e">
        <f t="shared" si="382"/>
        <v>#DIV/0!</v>
      </c>
      <c r="Q127" s="118">
        <v>1000</v>
      </c>
      <c r="R127" s="15">
        <v>0</v>
      </c>
      <c r="S127" s="118">
        <v>1000</v>
      </c>
      <c r="T127" s="15">
        <f t="shared" si="397"/>
        <v>0</v>
      </c>
      <c r="U127" s="16">
        <f t="shared" si="398"/>
        <v>0</v>
      </c>
      <c r="Y127" s="118">
        <v>400</v>
      </c>
      <c r="AA127" s="118">
        <v>400</v>
      </c>
      <c r="AB127" s="185">
        <f t="shared" si="399"/>
        <v>0</v>
      </c>
      <c r="AC127" s="187">
        <f t="shared" si="400"/>
        <v>0</v>
      </c>
      <c r="AD127" s="187"/>
      <c r="AE127" s="118">
        <v>400</v>
      </c>
      <c r="AF127" s="182"/>
      <c r="AH127" s="15">
        <v>0</v>
      </c>
      <c r="AI127" s="17">
        <f t="shared" si="442"/>
        <v>0</v>
      </c>
      <c r="AK127" s="118">
        <v>0</v>
      </c>
      <c r="AS127" s="15">
        <f t="shared" si="401"/>
        <v>0</v>
      </c>
      <c r="AV127" s="15">
        <f t="shared" si="402"/>
        <v>0</v>
      </c>
      <c r="AX127" s="15"/>
      <c r="AY127" s="15">
        <f t="shared" si="403"/>
        <v>0</v>
      </c>
      <c r="BB127" s="15">
        <f t="shared" si="404"/>
        <v>0</v>
      </c>
      <c r="BD127" s="15"/>
      <c r="BE127" s="15">
        <f t="shared" si="405"/>
        <v>0</v>
      </c>
      <c r="BG127" s="15"/>
      <c r="BH127" s="15">
        <f t="shared" si="406"/>
        <v>0</v>
      </c>
      <c r="BJ127" s="15">
        <v>0</v>
      </c>
      <c r="BM127" s="15">
        <v>0</v>
      </c>
      <c r="BN127" s="235" t="e">
        <f t="shared" si="439"/>
        <v>#DIV/0!</v>
      </c>
      <c r="BO127" s="235" t="e">
        <f t="shared" si="440"/>
        <v>#DIV/0!</v>
      </c>
      <c r="BQ127" s="15"/>
      <c r="BR127" s="15">
        <f t="shared" si="444"/>
        <v>0</v>
      </c>
      <c r="BT127" s="15"/>
      <c r="BU127" s="15">
        <f>BR127+BT127</f>
        <v>0</v>
      </c>
      <c r="BW127" s="15"/>
      <c r="BX127" s="15">
        <f>BU127+BW127</f>
        <v>0</v>
      </c>
      <c r="BZ127" s="15"/>
      <c r="CA127" s="15">
        <f>BX127+BZ127</f>
        <v>0</v>
      </c>
      <c r="CC127" s="15"/>
      <c r="CD127" s="15">
        <f>CA127+CC127</f>
        <v>0</v>
      </c>
      <c r="CF127" s="15"/>
      <c r="CG127" s="15">
        <f>CD127+CF127</f>
        <v>0</v>
      </c>
      <c r="CI127" s="15"/>
      <c r="CJ127" s="15">
        <f>CG127+CI127</f>
        <v>0</v>
      </c>
      <c r="CM127" s="15">
        <f>CJ127+CL127</f>
        <v>0</v>
      </c>
      <c r="CP127" s="15">
        <f>CM127+CO127</f>
        <v>0</v>
      </c>
      <c r="CS127" s="15">
        <f>CP127+CR127</f>
        <v>0</v>
      </c>
      <c r="CV127" s="15">
        <f>CS127+CU127</f>
        <v>0</v>
      </c>
      <c r="CY127" s="15">
        <f>CV127+CX127</f>
        <v>0</v>
      </c>
      <c r="DC127" s="15">
        <v>0</v>
      </c>
      <c r="DE127" s="15"/>
      <c r="DF127" s="15">
        <f t="shared" si="407"/>
        <v>0</v>
      </c>
      <c r="DH127" s="15"/>
      <c r="DI127" s="15">
        <f t="shared" si="408"/>
        <v>0</v>
      </c>
      <c r="DK127" s="15"/>
      <c r="DL127" s="15">
        <f t="shared" si="409"/>
        <v>0</v>
      </c>
      <c r="DN127" s="15"/>
      <c r="DO127" s="15">
        <f t="shared" si="410"/>
        <v>0</v>
      </c>
      <c r="DQ127" s="15"/>
      <c r="DR127" s="15">
        <f t="shared" si="411"/>
        <v>0</v>
      </c>
      <c r="DT127" s="15"/>
      <c r="DU127" s="15">
        <f t="shared" si="412"/>
        <v>0</v>
      </c>
      <c r="DW127" s="15"/>
      <c r="DX127" s="15">
        <f t="shared" si="413"/>
        <v>0</v>
      </c>
      <c r="DZ127" s="15"/>
      <c r="EA127" s="15">
        <f t="shared" si="414"/>
        <v>0</v>
      </c>
      <c r="EC127" s="227">
        <v>1000</v>
      </c>
      <c r="ED127" s="15">
        <f t="shared" si="415"/>
        <v>1000</v>
      </c>
      <c r="EF127" s="227">
        <v>-1000</v>
      </c>
      <c r="EG127" s="15">
        <f t="shared" si="416"/>
        <v>0</v>
      </c>
      <c r="EK127" s="15"/>
      <c r="EM127" s="15"/>
      <c r="EN127" s="15">
        <f t="shared" si="417"/>
        <v>0</v>
      </c>
      <c r="EP127" s="15"/>
      <c r="EQ127" s="15">
        <f t="shared" si="418"/>
        <v>0</v>
      </c>
      <c r="ES127" s="15"/>
      <c r="ET127" s="15">
        <f t="shared" si="419"/>
        <v>0</v>
      </c>
      <c r="EW127" s="15">
        <f t="shared" si="420"/>
        <v>0</v>
      </c>
      <c r="EZ127" s="15">
        <f t="shared" si="421"/>
        <v>0</v>
      </c>
      <c r="FC127" s="15">
        <f t="shared" si="422"/>
        <v>0</v>
      </c>
      <c r="FF127" s="15">
        <f t="shared" si="423"/>
        <v>0</v>
      </c>
      <c r="FI127" s="15">
        <f t="shared" si="424"/>
        <v>0</v>
      </c>
      <c r="FL127" s="15">
        <f t="shared" si="425"/>
        <v>0</v>
      </c>
      <c r="FO127" s="15">
        <f t="shared" si="426"/>
        <v>0</v>
      </c>
      <c r="FR127" s="15">
        <v>0</v>
      </c>
      <c r="FW127" s="235" t="e">
        <f t="shared" si="395"/>
        <v>#DIV/0!</v>
      </c>
      <c r="FZ127" s="15">
        <f t="shared" si="427"/>
        <v>0</v>
      </c>
      <c r="GB127" s="15"/>
      <c r="GC127" s="15">
        <f t="shared" si="428"/>
        <v>0</v>
      </c>
      <c r="GE127" s="15"/>
      <c r="GF127" s="15">
        <f t="shared" si="429"/>
        <v>0</v>
      </c>
      <c r="GH127" s="15"/>
      <c r="GI127" s="15">
        <f t="shared" si="430"/>
        <v>0</v>
      </c>
      <c r="GK127" s="15"/>
      <c r="GL127" s="15">
        <f t="shared" si="431"/>
        <v>0</v>
      </c>
      <c r="GN127" s="15"/>
      <c r="GO127" s="15">
        <f t="shared" si="432"/>
        <v>0</v>
      </c>
      <c r="GQ127" s="227">
        <v>2000</v>
      </c>
      <c r="GR127" s="15">
        <f t="shared" si="433"/>
        <v>2000</v>
      </c>
      <c r="GT127" s="15"/>
      <c r="GU127" s="15">
        <f t="shared" si="434"/>
        <v>2000</v>
      </c>
      <c r="GW127" s="15"/>
      <c r="GX127" s="15">
        <f t="shared" si="435"/>
        <v>2000</v>
      </c>
      <c r="GZ127" s="15"/>
      <c r="HA127" s="189">
        <f t="shared" si="436"/>
        <v>2000</v>
      </c>
      <c r="HC127" s="189">
        <v>0</v>
      </c>
      <c r="HE127" s="15">
        <v>1000</v>
      </c>
      <c r="HF127" s="235" t="e">
        <f t="shared" si="396"/>
        <v>#DIV/0!</v>
      </c>
    </row>
    <row r="128" spans="1:214" outlineLevel="1">
      <c r="A128" s="1" t="s">
        <v>167</v>
      </c>
      <c r="B128" s="1" t="s">
        <v>107</v>
      </c>
      <c r="C128" s="4" t="s">
        <v>108</v>
      </c>
      <c r="D128" s="43">
        <v>10000</v>
      </c>
      <c r="E128" s="34">
        <v>200</v>
      </c>
      <c r="F128" s="43">
        <v>20000</v>
      </c>
      <c r="G128" s="34">
        <v>100</v>
      </c>
      <c r="H128" s="46">
        <v>20000</v>
      </c>
      <c r="I128" s="36">
        <v>20000</v>
      </c>
      <c r="J128" s="14"/>
      <c r="K128" t="s">
        <v>332</v>
      </c>
      <c r="L128" s="118">
        <v>10000</v>
      </c>
      <c r="M128" s="17">
        <f t="shared" si="381"/>
        <v>-0.5</v>
      </c>
      <c r="N128" s="17">
        <f t="shared" si="382"/>
        <v>-0.5</v>
      </c>
      <c r="Q128" s="118">
        <v>10000</v>
      </c>
      <c r="S128" s="118">
        <v>10000</v>
      </c>
      <c r="T128" s="15">
        <f t="shared" si="397"/>
        <v>0</v>
      </c>
      <c r="U128" s="15">
        <f t="shared" si="398"/>
        <v>0</v>
      </c>
      <c r="Y128" s="118">
        <v>10000</v>
      </c>
      <c r="AA128" s="118">
        <v>10000</v>
      </c>
      <c r="AB128" s="185">
        <f t="shared" si="399"/>
        <v>0</v>
      </c>
      <c r="AC128" s="187">
        <f t="shared" si="400"/>
        <v>0</v>
      </c>
      <c r="AD128" s="187"/>
      <c r="AE128" s="118">
        <v>10000</v>
      </c>
      <c r="AF128" s="182"/>
      <c r="AH128" s="15">
        <v>10000</v>
      </c>
      <c r="AI128" s="17">
        <f t="shared" si="442"/>
        <v>1</v>
      </c>
      <c r="AK128" s="118">
        <v>10000</v>
      </c>
      <c r="AS128" s="15">
        <f t="shared" si="401"/>
        <v>10000</v>
      </c>
      <c r="AV128" s="15">
        <f t="shared" si="402"/>
        <v>10000</v>
      </c>
      <c r="AX128" s="15"/>
      <c r="AY128" s="15">
        <f t="shared" si="403"/>
        <v>10000</v>
      </c>
      <c r="BB128" s="15">
        <f t="shared" si="404"/>
        <v>10000</v>
      </c>
      <c r="BD128" s="15"/>
      <c r="BE128" s="15">
        <f t="shared" si="405"/>
        <v>10000</v>
      </c>
      <c r="BG128" s="15"/>
      <c r="BH128" s="15">
        <f t="shared" si="406"/>
        <v>10000</v>
      </c>
      <c r="BJ128" s="15">
        <v>10000</v>
      </c>
      <c r="BK128" s="235">
        <f t="shared" ref="BK128" si="445">BJ128/BH128</f>
        <v>1</v>
      </c>
      <c r="BM128" s="15">
        <v>10000</v>
      </c>
      <c r="BN128" s="235">
        <f t="shared" si="439"/>
        <v>1</v>
      </c>
      <c r="BO128" s="235">
        <f t="shared" si="440"/>
        <v>1</v>
      </c>
      <c r="BQ128" s="15"/>
      <c r="BR128" s="15">
        <f t="shared" si="444"/>
        <v>10000</v>
      </c>
      <c r="BT128" s="15"/>
      <c r="BU128" s="15">
        <f>BR128+BT128</f>
        <v>10000</v>
      </c>
      <c r="BW128" s="15"/>
      <c r="BX128" s="15">
        <f>BU128+BW128</f>
        <v>10000</v>
      </c>
      <c r="BZ128" s="15"/>
      <c r="CA128" s="15">
        <f>BX128+BZ128</f>
        <v>10000</v>
      </c>
      <c r="CC128" s="15"/>
      <c r="CD128" s="15">
        <f>CA128+CC128</f>
        <v>10000</v>
      </c>
      <c r="CF128" s="15"/>
      <c r="CG128" s="15">
        <f>CD128+CF128</f>
        <v>10000</v>
      </c>
      <c r="CI128" s="15"/>
      <c r="CJ128" s="15">
        <f>CG128+CI128</f>
        <v>10000</v>
      </c>
      <c r="CM128" s="15">
        <f>CJ128+CL128</f>
        <v>10000</v>
      </c>
      <c r="CP128" s="15">
        <f>CM128+CO128</f>
        <v>10000</v>
      </c>
      <c r="CS128" s="15">
        <f>CP128+CR128</f>
        <v>10000</v>
      </c>
      <c r="CV128" s="15">
        <f>CS128+CU128</f>
        <v>10000</v>
      </c>
      <c r="CY128" s="15">
        <f>CV128+CX128</f>
        <v>10000</v>
      </c>
      <c r="DA128" s="15">
        <v>10000</v>
      </c>
      <c r="DC128" s="15">
        <v>10000</v>
      </c>
      <c r="DE128" s="15"/>
      <c r="DF128" s="15">
        <f t="shared" si="407"/>
        <v>10000</v>
      </c>
      <c r="DH128" s="15"/>
      <c r="DI128" s="15">
        <f t="shared" si="408"/>
        <v>10000</v>
      </c>
      <c r="DK128" s="15"/>
      <c r="DL128" s="15">
        <f t="shared" si="409"/>
        <v>10000</v>
      </c>
      <c r="DN128" s="15"/>
      <c r="DO128" s="15">
        <f t="shared" si="410"/>
        <v>10000</v>
      </c>
      <c r="DQ128" s="15"/>
      <c r="DR128" s="15">
        <f t="shared" si="411"/>
        <v>10000</v>
      </c>
      <c r="DT128" s="15"/>
      <c r="DU128" s="15">
        <f t="shared" si="412"/>
        <v>10000</v>
      </c>
      <c r="DW128" s="15"/>
      <c r="DX128" s="15">
        <f t="shared" si="413"/>
        <v>10000</v>
      </c>
      <c r="DZ128" s="15"/>
      <c r="EA128" s="15">
        <f t="shared" si="414"/>
        <v>10000</v>
      </c>
      <c r="EC128" s="15"/>
      <c r="ED128" s="15">
        <f t="shared" si="415"/>
        <v>10000</v>
      </c>
      <c r="EF128" s="15"/>
      <c r="EG128" s="15">
        <f t="shared" si="416"/>
        <v>10000</v>
      </c>
      <c r="EI128" s="15">
        <v>10000</v>
      </c>
      <c r="EK128" s="15">
        <v>10000</v>
      </c>
      <c r="EM128" s="15"/>
      <c r="EN128" s="15">
        <f t="shared" si="417"/>
        <v>10000</v>
      </c>
      <c r="EP128" s="15"/>
      <c r="EQ128" s="15">
        <f t="shared" si="418"/>
        <v>10000</v>
      </c>
      <c r="ES128" s="15"/>
      <c r="ET128" s="15">
        <f t="shared" si="419"/>
        <v>10000</v>
      </c>
      <c r="EW128" s="15">
        <f t="shared" si="420"/>
        <v>10000</v>
      </c>
      <c r="EZ128" s="15">
        <f t="shared" si="421"/>
        <v>10000</v>
      </c>
      <c r="FC128" s="15">
        <f t="shared" si="422"/>
        <v>10000</v>
      </c>
      <c r="FF128" s="15">
        <f t="shared" si="423"/>
        <v>10000</v>
      </c>
      <c r="FI128" s="15">
        <f t="shared" si="424"/>
        <v>10000</v>
      </c>
      <c r="FL128" s="15">
        <f t="shared" si="425"/>
        <v>10000</v>
      </c>
      <c r="FO128" s="15">
        <f t="shared" si="426"/>
        <v>10000</v>
      </c>
      <c r="FR128" s="15">
        <v>10000</v>
      </c>
      <c r="FT128" s="15">
        <v>10000</v>
      </c>
      <c r="FV128" s="15">
        <v>10000</v>
      </c>
      <c r="FW128" s="235">
        <f t="shared" si="395"/>
        <v>1</v>
      </c>
      <c r="FZ128" s="15">
        <f t="shared" si="427"/>
        <v>10000</v>
      </c>
      <c r="GB128" s="15"/>
      <c r="GC128" s="15">
        <f t="shared" si="428"/>
        <v>10000</v>
      </c>
      <c r="GE128" s="15"/>
      <c r="GF128" s="15">
        <f t="shared" si="429"/>
        <v>10000</v>
      </c>
      <c r="GH128" s="15"/>
      <c r="GI128" s="15">
        <f t="shared" si="430"/>
        <v>10000</v>
      </c>
      <c r="GK128" s="15"/>
      <c r="GL128" s="15">
        <f t="shared" si="431"/>
        <v>10000</v>
      </c>
      <c r="GN128" s="15"/>
      <c r="GO128" s="15">
        <f t="shared" si="432"/>
        <v>10000</v>
      </c>
      <c r="GQ128" s="15"/>
      <c r="GR128" s="15">
        <f t="shared" si="433"/>
        <v>10000</v>
      </c>
      <c r="GT128" s="15"/>
      <c r="GU128" s="15">
        <f t="shared" si="434"/>
        <v>10000</v>
      </c>
      <c r="GW128" s="15"/>
      <c r="GX128" s="15">
        <f t="shared" si="435"/>
        <v>10000</v>
      </c>
      <c r="GZ128" s="15"/>
      <c r="HA128" s="189">
        <f t="shared" si="436"/>
        <v>10000</v>
      </c>
      <c r="HC128" s="189">
        <v>10000</v>
      </c>
      <c r="HE128" s="15">
        <v>10000</v>
      </c>
      <c r="HF128" s="235">
        <f t="shared" si="396"/>
        <v>1</v>
      </c>
    </row>
    <row r="129" spans="1:214" outlineLevel="1">
      <c r="A129" s="1" t="s">
        <v>167</v>
      </c>
      <c r="B129" s="4" t="s">
        <v>46</v>
      </c>
      <c r="C129" s="4" t="s">
        <v>168</v>
      </c>
      <c r="D129" s="43">
        <v>87600</v>
      </c>
      <c r="E129" s="34">
        <v>46.9</v>
      </c>
      <c r="F129" s="43">
        <v>101497</v>
      </c>
      <c r="G129" s="34">
        <v>40.479999999999997</v>
      </c>
      <c r="H129" s="46">
        <v>41084.89</v>
      </c>
      <c r="Y129" s="118"/>
      <c r="AF129" s="182"/>
      <c r="AH129" s="15"/>
      <c r="AX129" s="15"/>
      <c r="BD129" s="15"/>
      <c r="BG129" s="15"/>
      <c r="DE129" s="15"/>
      <c r="DH129" s="15"/>
      <c r="DK129" s="15"/>
      <c r="DN129" s="15"/>
      <c r="DQ129" s="15"/>
      <c r="DT129" s="15"/>
      <c r="DW129" s="15"/>
      <c r="DZ129" s="15"/>
      <c r="EC129" s="15"/>
      <c r="EF129" s="15"/>
      <c r="EK129" s="15"/>
      <c r="EM129" s="15"/>
      <c r="EP129" s="15"/>
      <c r="ES129" s="15"/>
      <c r="GB129" s="15"/>
      <c r="GE129" s="15"/>
      <c r="GH129" s="15"/>
      <c r="GK129" s="15"/>
      <c r="GN129" s="15"/>
      <c r="GQ129" s="15"/>
      <c r="GT129" s="15"/>
      <c r="GW129" s="15"/>
      <c r="GZ129" s="15"/>
    </row>
    <row r="130" spans="1:214" outlineLevel="1">
      <c r="A130" s="1" t="s">
        <v>169</v>
      </c>
      <c r="B130" s="4" t="s">
        <v>48</v>
      </c>
      <c r="C130" s="4" t="s">
        <v>170</v>
      </c>
      <c r="D130" s="43">
        <v>102000</v>
      </c>
      <c r="E130" s="34">
        <v>68.040000000000006</v>
      </c>
      <c r="F130" s="43">
        <v>153729</v>
      </c>
      <c r="G130" s="34">
        <v>45.14</v>
      </c>
      <c r="H130" s="46">
        <v>69396.89</v>
      </c>
      <c r="I130" s="36"/>
      <c r="J130" s="14"/>
      <c r="Y130" s="118"/>
      <c r="AF130" s="182"/>
      <c r="AH130" s="15"/>
      <c r="AX130" s="15"/>
      <c r="BD130" s="15"/>
      <c r="BG130" s="15"/>
      <c r="DE130" s="15"/>
      <c r="DH130" s="15"/>
      <c r="DK130" s="15"/>
      <c r="DN130" s="15"/>
      <c r="DQ130" s="15"/>
      <c r="DT130" s="15"/>
      <c r="DW130" s="15"/>
      <c r="DZ130" s="15"/>
      <c r="EC130" s="15"/>
      <c r="EF130" s="15"/>
      <c r="EK130" s="15"/>
      <c r="EM130" s="15"/>
      <c r="EP130" s="15"/>
      <c r="ES130" s="15"/>
      <c r="GB130" s="15"/>
      <c r="GE130" s="15"/>
      <c r="GH130" s="15"/>
      <c r="GK130" s="15"/>
      <c r="GN130" s="15"/>
      <c r="GQ130" s="15"/>
      <c r="GT130" s="15"/>
      <c r="GW130" s="15"/>
      <c r="GZ130" s="15"/>
    </row>
    <row r="131" spans="1:214" ht="14.25" customHeight="1" thickBot="1">
      <c r="A131" s="54" t="s">
        <v>167</v>
      </c>
      <c r="B131" s="55" t="s">
        <v>316</v>
      </c>
      <c r="C131" s="283" t="s">
        <v>653</v>
      </c>
      <c r="D131" s="57">
        <f>SUM(D120:D128)</f>
        <v>87600</v>
      </c>
      <c r="E131" s="58"/>
      <c r="F131" s="57">
        <f>SUM(F120:F128)</f>
        <v>101497</v>
      </c>
      <c r="G131" s="58"/>
      <c r="H131" s="57"/>
      <c r="I131" s="57">
        <f>SUM(I120:I128)</f>
        <v>72454</v>
      </c>
      <c r="J131" s="138" t="e">
        <f>I131/$I$350</f>
        <v>#REF!</v>
      </c>
      <c r="K131" s="60"/>
      <c r="L131" s="122">
        <f>SUM(L120:L128)</f>
        <v>77800</v>
      </c>
      <c r="M131" s="61">
        <f>L131/F131-1</f>
        <v>-0.23347488103096647</v>
      </c>
      <c r="N131" s="61">
        <f>L131/I131-1</f>
        <v>7.3784746183785499E-2</v>
      </c>
      <c r="O131" s="17">
        <f>L131/$L$350</f>
        <v>1.805104441858087E-2</v>
      </c>
      <c r="P131" s="17"/>
      <c r="Q131" s="122">
        <f>SUM(Q120:Q128)</f>
        <v>77800</v>
      </c>
      <c r="R131" s="122">
        <f>SUM(R120:R128)</f>
        <v>10448</v>
      </c>
      <c r="S131" s="122">
        <f>SUM(S120:S128)</f>
        <v>54500</v>
      </c>
      <c r="T131" s="122">
        <f>SUM(T120:T128)</f>
        <v>-23300</v>
      </c>
      <c r="U131" s="155">
        <f>S131/Q131-1</f>
        <v>-0.2994858611825193</v>
      </c>
      <c r="Y131" s="122">
        <f>SUM(Y120:Y128)</f>
        <v>54500</v>
      </c>
      <c r="AA131" s="122">
        <f>SUM(AA120:AA128)</f>
        <v>47500</v>
      </c>
      <c r="AB131" s="122">
        <f>SUM(AB120:AB128)</f>
        <v>-7000</v>
      </c>
      <c r="AE131" s="122">
        <f>SUM(AE120:AE128)</f>
        <v>49100</v>
      </c>
      <c r="AF131" s="182"/>
      <c r="AH131" s="122">
        <f>SUM(AH120:AH128)</f>
        <v>45254.42</v>
      </c>
      <c r="AI131" s="17">
        <f t="shared" ref="AI131:AI132" si="446">AH131/AE131</f>
        <v>0.92167861507128301</v>
      </c>
      <c r="AK131" s="122">
        <f>SUM(AK120:AK128)</f>
        <v>48700</v>
      </c>
      <c r="AL131" s="193">
        <f t="shared" ref="AL131:AL132" si="447">AK131/L131</f>
        <v>0.62596401028277637</v>
      </c>
      <c r="AM131" s="17">
        <f t="shared" ref="AM131:AM132" si="448">AK131/AE131</f>
        <v>0.99185336048879835</v>
      </c>
      <c r="AN131" s="17">
        <f t="shared" ref="AN131:AN132" si="449">AK131/AH131</f>
        <v>1.0761379772406763</v>
      </c>
      <c r="AS131" s="122">
        <f>SUM(AS120:AS128)</f>
        <v>48700</v>
      </c>
      <c r="AU131" s="122">
        <f>SUM(AU120:AU128)</f>
        <v>0</v>
      </c>
      <c r="AV131" s="122">
        <f>SUM(AV120:AV128)</f>
        <v>48700</v>
      </c>
      <c r="AX131" s="122">
        <f>SUM(AX120:AX128)</f>
        <v>0</v>
      </c>
      <c r="AY131" s="122">
        <f>SUM(AY120:AY128)</f>
        <v>48700</v>
      </c>
      <c r="BA131" s="122">
        <f>SUM(BA120:BA128)</f>
        <v>0</v>
      </c>
      <c r="BB131" s="122">
        <f>SUM(BB120:BB128)</f>
        <v>48700</v>
      </c>
      <c r="BD131" s="122">
        <f>SUM(BD120:BD128)</f>
        <v>-600</v>
      </c>
      <c r="BE131" s="122">
        <f>SUM(BE120:BE128)</f>
        <v>48100</v>
      </c>
      <c r="BG131" s="122">
        <f>SUM(BG120:BG128)</f>
        <v>6000</v>
      </c>
      <c r="BH131" s="122">
        <f>SUM(BH120:BH128)</f>
        <v>54100</v>
      </c>
      <c r="BJ131" s="122">
        <f>SUM(BJ120:BJ128)</f>
        <v>48671.33</v>
      </c>
      <c r="BK131" s="236">
        <f t="shared" ref="BK131" si="450">BJ131/BH131</f>
        <v>0.8996548983364141</v>
      </c>
      <c r="BM131" s="122">
        <f>SUM(BM120:BM128)</f>
        <v>112400</v>
      </c>
      <c r="BN131" s="236">
        <f t="shared" ref="BN131:BN132" si="451">BM131/BJ131</f>
        <v>2.3093677530488685</v>
      </c>
      <c r="BO131" s="236">
        <f t="shared" ref="BO131:BO132" si="452">BM131/BH131</f>
        <v>2.0776340110905731</v>
      </c>
      <c r="BQ131" s="122">
        <f>SUM(BQ120:BQ128)</f>
        <v>0</v>
      </c>
      <c r="BR131" s="122">
        <f>SUM(BR120:BR128)</f>
        <v>112400</v>
      </c>
      <c r="BT131" s="122">
        <f>SUM(BT120:BT128)</f>
        <v>0</v>
      </c>
      <c r="BU131" s="122">
        <f>SUM(BU120:BU128)</f>
        <v>112400</v>
      </c>
      <c r="BW131" s="122">
        <f>SUM(BW120:BW128)</f>
        <v>0</v>
      </c>
      <c r="BX131" s="122">
        <f>SUM(BX120:BX128)</f>
        <v>112400</v>
      </c>
      <c r="BZ131" s="122">
        <f>SUM(BZ120:BZ128)</f>
        <v>0</v>
      </c>
      <c r="CA131" s="122">
        <f>SUM(CA120:CA128)</f>
        <v>112400</v>
      </c>
      <c r="CC131" s="122">
        <f>SUM(CC120:CC128)</f>
        <v>0</v>
      </c>
      <c r="CD131" s="122">
        <f>SUM(CD120:CD128)</f>
        <v>112400</v>
      </c>
      <c r="CF131" s="122">
        <f>SUM(CF120:CF128)</f>
        <v>0</v>
      </c>
      <c r="CG131" s="122">
        <f>SUM(CG120:CG128)</f>
        <v>112400</v>
      </c>
      <c r="CI131" s="122">
        <f>SUM(CI120:CI128)</f>
        <v>0</v>
      </c>
      <c r="CJ131" s="122">
        <f>SUM(CJ120:CJ128)</f>
        <v>112400</v>
      </c>
      <c r="CL131" s="319">
        <f>SUM(CL120:CL128)</f>
        <v>10000</v>
      </c>
      <c r="CM131" s="122">
        <f>SUM(CM120:CM128)</f>
        <v>122400</v>
      </c>
      <c r="CO131" s="122">
        <f>SUM(CO120:CO128)</f>
        <v>10000</v>
      </c>
      <c r="CP131" s="122">
        <f>SUM(CP120:CP128)</f>
        <v>132400</v>
      </c>
      <c r="CR131" s="122">
        <f>SUM(CR120:CR128)</f>
        <v>0</v>
      </c>
      <c r="CS131" s="122">
        <f>SUM(CS120:CS128)</f>
        <v>132400</v>
      </c>
      <c r="CU131" s="122">
        <f>SUM(CU120:CU128)</f>
        <v>4800</v>
      </c>
      <c r="CV131" s="122">
        <f>SUM(CV120:CV128)</f>
        <v>137200</v>
      </c>
      <c r="CX131" s="122">
        <f>SUM(CX120:CX128)</f>
        <v>0</v>
      </c>
      <c r="CY131" s="122">
        <f>SUM(CY120:CY128)</f>
        <v>137200</v>
      </c>
      <c r="DA131" s="122">
        <f>SUM(DA120:DA128)</f>
        <v>136956.79999999999</v>
      </c>
      <c r="DC131" s="122">
        <f>SUM(DC120:DC128)</f>
        <v>135000</v>
      </c>
      <c r="DE131" s="122">
        <f>SUM(DE120:DE128)</f>
        <v>0</v>
      </c>
      <c r="DF131" s="122">
        <f>SUM(DF120:DF128)</f>
        <v>135000</v>
      </c>
      <c r="DH131" s="122">
        <f>SUM(DH120:DH128)</f>
        <v>0</v>
      </c>
      <c r="DI131" s="122">
        <f>SUM(DI120:DI128)</f>
        <v>135000</v>
      </c>
      <c r="DK131" s="122">
        <f>SUM(DK120:DK128)</f>
        <v>0</v>
      </c>
      <c r="DL131" s="122">
        <f>SUM(DL120:DL128)</f>
        <v>135000</v>
      </c>
      <c r="DN131" s="122">
        <f>SUM(DN120:DN128)</f>
        <v>0</v>
      </c>
      <c r="DO131" s="122">
        <f>SUM(DO120:DO128)</f>
        <v>135000</v>
      </c>
      <c r="DQ131" s="122">
        <f>SUM(DQ120:DQ128)</f>
        <v>-37800</v>
      </c>
      <c r="DR131" s="122">
        <f>SUM(DR120:DR128)</f>
        <v>97200</v>
      </c>
      <c r="DT131" s="122">
        <f>SUM(DT120:DT128)</f>
        <v>1800</v>
      </c>
      <c r="DU131" s="122">
        <f>SUM(DU120:DU128)</f>
        <v>99000</v>
      </c>
      <c r="DW131" s="122">
        <f>SUM(DW120:DW128)</f>
        <v>0</v>
      </c>
      <c r="DX131" s="122">
        <f>SUM(DX120:DX128)</f>
        <v>99000</v>
      </c>
      <c r="DZ131" s="122">
        <f>SUM(DZ120:DZ128)</f>
        <v>8000</v>
      </c>
      <c r="EA131" s="122">
        <f>SUM(EA120:EA128)</f>
        <v>107000</v>
      </c>
      <c r="EC131" s="122">
        <f>SUM(EC120:EC128)</f>
        <v>7000</v>
      </c>
      <c r="ED131" s="122">
        <f>SUM(ED120:ED128)</f>
        <v>114000</v>
      </c>
      <c r="EF131" s="122">
        <f>SUM(EF120:EF128)</f>
        <v>6600</v>
      </c>
      <c r="EG131" s="122">
        <f>SUM(EG120:EG128)</f>
        <v>120600</v>
      </c>
      <c r="EI131" s="122">
        <f>SUM(EI120:EI128)</f>
        <v>119829.90000000001</v>
      </c>
      <c r="EK131" s="122">
        <f>SUM(EK120:EK128)</f>
        <v>124000</v>
      </c>
      <c r="EL131" s="377">
        <f>EK131/EI131-1</f>
        <v>3.4800162563767501E-2</v>
      </c>
      <c r="EM131" s="122">
        <f>SUM(EM120:EM128)</f>
        <v>0</v>
      </c>
      <c r="EN131" s="122">
        <f>SUM(EN120:EN128)</f>
        <v>124000</v>
      </c>
      <c r="EP131" s="122">
        <f>SUM(EP120:EP128)</f>
        <v>0</v>
      </c>
      <c r="EQ131" s="122">
        <f>SUM(EQ120:EQ128)</f>
        <v>124000</v>
      </c>
      <c r="ES131" s="122">
        <f>SUM(ES120:ES128)</f>
        <v>0</v>
      </c>
      <c r="ET131" s="122">
        <f>SUM(ET120:ET128)</f>
        <v>124000</v>
      </c>
      <c r="EV131" s="122">
        <f>SUM(EV120:EV128)</f>
        <v>0</v>
      </c>
      <c r="EW131" s="122">
        <f>SUM(EW120:EW128)</f>
        <v>124000</v>
      </c>
      <c r="EY131" s="122">
        <f>SUM(EY120:EY128)</f>
        <v>0</v>
      </c>
      <c r="EZ131" s="122">
        <f>SUM(EZ120:EZ128)</f>
        <v>124000</v>
      </c>
      <c r="FB131" s="122">
        <f>SUM(FB120:FB128)</f>
        <v>25000</v>
      </c>
      <c r="FC131" s="122">
        <f>SUM(FC120:FC128)</f>
        <v>149000</v>
      </c>
      <c r="FE131" s="122">
        <f>SUM(FE120:FE128)</f>
        <v>0</v>
      </c>
      <c r="FF131" s="122">
        <f>SUM(FF120:FF128)</f>
        <v>149000</v>
      </c>
      <c r="FH131" s="122">
        <f>SUM(FH120:FH128)</f>
        <v>0</v>
      </c>
      <c r="FI131" s="122">
        <f>SUM(FI120:FI128)</f>
        <v>149000</v>
      </c>
      <c r="FK131" s="122">
        <f>SUM(FK120:FK128)</f>
        <v>-30000</v>
      </c>
      <c r="FL131" s="122">
        <f>SUM(FL120:FL128)</f>
        <v>119000</v>
      </c>
      <c r="FN131" s="122">
        <f>SUM(FN120:FN128)</f>
        <v>2300</v>
      </c>
      <c r="FO131" s="122">
        <f>SUM(FO120:FO128)</f>
        <v>121300</v>
      </c>
      <c r="FQ131" s="122">
        <v>3850</v>
      </c>
      <c r="FR131" s="122">
        <v>125150</v>
      </c>
      <c r="FT131" s="122">
        <f>SUM(FT120:FT128)</f>
        <v>118050.31</v>
      </c>
      <c r="FV131" s="122">
        <f>SUM(FV120:FV128)</f>
        <v>116000</v>
      </c>
      <c r="FW131" s="235">
        <f t="shared" ref="FW131:FW132" si="453">FV131/FT131</f>
        <v>0.98263189651937388</v>
      </c>
      <c r="FY131" s="122">
        <f>SUM(FY120:FY128)</f>
        <v>0</v>
      </c>
      <c r="FZ131" s="122">
        <f>SUM(FZ120:FZ128)</f>
        <v>116000</v>
      </c>
      <c r="GB131" s="122">
        <f>SUM(GB120:GB128)</f>
        <v>0</v>
      </c>
      <c r="GC131" s="122">
        <f>SUM(GC120:GC128)</f>
        <v>116000</v>
      </c>
      <c r="GE131" s="122">
        <f>SUM(GE120:GE128)</f>
        <v>0</v>
      </c>
      <c r="GF131" s="122">
        <f>SUM(GF120:GF128)</f>
        <v>116000</v>
      </c>
      <c r="GH131" s="122">
        <f>SUM(GH120:GH128)</f>
        <v>0</v>
      </c>
      <c r="GI131" s="122">
        <f>SUM(GI120:GI128)</f>
        <v>116000</v>
      </c>
      <c r="GK131" s="122">
        <f>SUM(GK120:GK128)</f>
        <v>0</v>
      </c>
      <c r="GL131" s="122">
        <f>SUM(GL120:GL128)</f>
        <v>116000</v>
      </c>
      <c r="GN131" s="122">
        <f>SUM(GN120:GN128)</f>
        <v>100</v>
      </c>
      <c r="GO131" s="122">
        <f>SUM(GO120:GO128)</f>
        <v>116100</v>
      </c>
      <c r="GQ131" s="122">
        <f>SUM(GQ120:GQ128)</f>
        <v>5000</v>
      </c>
      <c r="GR131" s="122">
        <f>SUM(GR120:GR128)</f>
        <v>121100</v>
      </c>
      <c r="GT131" s="122">
        <f>SUM(GT120:GT128)</f>
        <v>-5300</v>
      </c>
      <c r="GU131" s="122">
        <f>SUM(GU120:GU128)</f>
        <v>115800</v>
      </c>
      <c r="GW131" s="122">
        <f>SUM(GW120:GW128)</f>
        <v>600</v>
      </c>
      <c r="GX131" s="122">
        <f>SUM(GX120:GX128)</f>
        <v>116400</v>
      </c>
      <c r="GZ131" s="122">
        <f>SUM(GZ120:GZ128)</f>
        <v>12700</v>
      </c>
      <c r="HA131" s="430">
        <f>SUM(HA120:HA128)</f>
        <v>129100</v>
      </c>
      <c r="HC131" s="122">
        <f>SUM(HC120:HC128)</f>
        <v>83267.08</v>
      </c>
      <c r="HE131" s="122">
        <f>SUM(HE120:HE128)</f>
        <v>85000</v>
      </c>
      <c r="HF131" s="235">
        <f>HE131/HC131</f>
        <v>1.020811586043368</v>
      </c>
    </row>
    <row r="132" spans="1:214" ht="16.5" customHeight="1" thickTop="1" thickBot="1">
      <c r="A132" s="64" t="s">
        <v>167</v>
      </c>
      <c r="B132" s="65" t="s">
        <v>357</v>
      </c>
      <c r="C132" s="284" t="s">
        <v>334</v>
      </c>
      <c r="D132" s="66">
        <f>D125</f>
        <v>0</v>
      </c>
      <c r="E132" s="67"/>
      <c r="F132" s="66">
        <f>F125</f>
        <v>2393</v>
      </c>
      <c r="G132" s="67"/>
      <c r="H132" s="66"/>
      <c r="I132" s="66">
        <f>I125</f>
        <v>4000</v>
      </c>
      <c r="J132" s="68"/>
      <c r="K132" s="69"/>
      <c r="L132" s="123">
        <f>L125</f>
        <v>5000</v>
      </c>
      <c r="M132" s="70">
        <f>L132/F132-1</f>
        <v>1.0894274968658588</v>
      </c>
      <c r="N132" s="70">
        <f>L132/I132-1</f>
        <v>0.25</v>
      </c>
      <c r="Q132" s="123">
        <f>Q125</f>
        <v>5000</v>
      </c>
      <c r="R132" s="123">
        <f>R125</f>
        <v>484</v>
      </c>
      <c r="S132" s="123">
        <f>S125</f>
        <v>3000</v>
      </c>
      <c r="T132" s="123">
        <f>T125</f>
        <v>-2000</v>
      </c>
      <c r="U132" s="155">
        <f>S132/Q132-1</f>
        <v>-0.4</v>
      </c>
      <c r="Y132" s="123">
        <f>Y125</f>
        <v>3000</v>
      </c>
      <c r="AA132" s="123">
        <f>AA125</f>
        <v>3000</v>
      </c>
      <c r="AB132" s="123">
        <f>AB125</f>
        <v>0</v>
      </c>
      <c r="AE132" s="123">
        <f>AE125</f>
        <v>3000</v>
      </c>
      <c r="AF132" s="182"/>
      <c r="AH132" s="123">
        <f>AH125</f>
        <v>2565</v>
      </c>
      <c r="AI132" s="17">
        <f t="shared" si="446"/>
        <v>0.85499999999999998</v>
      </c>
      <c r="AK132" s="123">
        <f>AK125</f>
        <v>4000</v>
      </c>
      <c r="AL132" s="193">
        <f t="shared" si="447"/>
        <v>0.8</v>
      </c>
      <c r="AM132" s="17">
        <f t="shared" si="448"/>
        <v>1.3333333333333333</v>
      </c>
      <c r="AN132" s="17">
        <f t="shared" si="449"/>
        <v>1.5594541910331383</v>
      </c>
      <c r="AS132" s="123">
        <f>AS125</f>
        <v>4000</v>
      </c>
      <c r="AU132" s="123">
        <f>AU125</f>
        <v>0</v>
      </c>
      <c r="AV132" s="123">
        <f>AV125</f>
        <v>4000</v>
      </c>
      <c r="AX132" s="123">
        <f>AX125</f>
        <v>0</v>
      </c>
      <c r="AY132" s="123">
        <f>AY125</f>
        <v>4000</v>
      </c>
      <c r="BA132" s="123">
        <f>BA125</f>
        <v>0</v>
      </c>
      <c r="BB132" s="123">
        <f>BB125</f>
        <v>4000</v>
      </c>
      <c r="BD132" s="123">
        <f>BD125</f>
        <v>-2000</v>
      </c>
      <c r="BE132" s="123">
        <f>BE125</f>
        <v>2000</v>
      </c>
      <c r="BG132" s="123">
        <f>BG125</f>
        <v>0</v>
      </c>
      <c r="BH132" s="123">
        <f>BH125</f>
        <v>2000</v>
      </c>
      <c r="BJ132" s="123">
        <f>BJ125</f>
        <v>950</v>
      </c>
      <c r="BK132" s="236">
        <f t="shared" ref="BK132" si="454">BJ132/BH132</f>
        <v>0.47499999999999998</v>
      </c>
      <c r="BM132" s="123">
        <f>BM125</f>
        <v>1000</v>
      </c>
      <c r="BN132" s="236">
        <f t="shared" si="451"/>
        <v>1.0526315789473684</v>
      </c>
      <c r="BO132" s="236">
        <f t="shared" si="452"/>
        <v>0.5</v>
      </c>
      <c r="BQ132" s="123">
        <f>BQ125</f>
        <v>0</v>
      </c>
      <c r="BR132" s="123">
        <f>BR125</f>
        <v>1000</v>
      </c>
      <c r="BT132" s="123">
        <f>BT125</f>
        <v>0</v>
      </c>
      <c r="BU132" s="123">
        <f>BU125</f>
        <v>1000</v>
      </c>
      <c r="BW132" s="123">
        <f>BW125</f>
        <v>0</v>
      </c>
      <c r="BX132" s="123">
        <f>BX125</f>
        <v>1000</v>
      </c>
      <c r="BZ132" s="123">
        <f>BZ125</f>
        <v>0</v>
      </c>
      <c r="CA132" s="123">
        <f>CA125</f>
        <v>1000</v>
      </c>
      <c r="CC132" s="123">
        <f>CC125</f>
        <v>0</v>
      </c>
      <c r="CD132" s="123">
        <f>CD125</f>
        <v>1000</v>
      </c>
      <c r="CF132" s="123">
        <f>CF125</f>
        <v>0</v>
      </c>
      <c r="CG132" s="123">
        <f>CG125</f>
        <v>1000</v>
      </c>
      <c r="CI132" s="123">
        <f>CI125</f>
        <v>0</v>
      </c>
      <c r="CJ132" s="123">
        <f>CJ125</f>
        <v>1000</v>
      </c>
      <c r="CL132" s="319">
        <f>CL125</f>
        <v>0</v>
      </c>
      <c r="CM132" s="123">
        <f>CM125</f>
        <v>1000</v>
      </c>
      <c r="CO132" s="123">
        <f>CO125</f>
        <v>0</v>
      </c>
      <c r="CP132" s="123">
        <f>CP125</f>
        <v>1000</v>
      </c>
      <c r="CR132" s="123">
        <f>CR125</f>
        <v>0</v>
      </c>
      <c r="CS132" s="123">
        <f>CS125</f>
        <v>1000</v>
      </c>
      <c r="CU132" s="123">
        <f>CU125</f>
        <v>-1000</v>
      </c>
      <c r="CV132" s="123">
        <f>CV125</f>
        <v>0</v>
      </c>
      <c r="CX132" s="123">
        <f>CX125</f>
        <v>0</v>
      </c>
      <c r="CY132" s="123">
        <f>CY125</f>
        <v>0</v>
      </c>
      <c r="DA132" s="123">
        <f>DA125</f>
        <v>0</v>
      </c>
      <c r="DC132" s="123">
        <f>DC125</f>
        <v>2000</v>
      </c>
      <c r="DE132" s="123">
        <f>DE125</f>
        <v>0</v>
      </c>
      <c r="DF132" s="123">
        <f>DF125</f>
        <v>2000</v>
      </c>
      <c r="DH132" s="123">
        <f>DH125</f>
        <v>0</v>
      </c>
      <c r="DI132" s="123">
        <f>DI125</f>
        <v>2000</v>
      </c>
      <c r="DK132" s="123">
        <f>DK125</f>
        <v>0</v>
      </c>
      <c r="DL132" s="123">
        <f>DL125</f>
        <v>2000</v>
      </c>
      <c r="DN132" s="123">
        <f>DN125</f>
        <v>0</v>
      </c>
      <c r="DO132" s="123">
        <f>DO125</f>
        <v>2000</v>
      </c>
      <c r="DQ132" s="123">
        <f>DQ125</f>
        <v>0</v>
      </c>
      <c r="DR132" s="123">
        <f>DR125</f>
        <v>2000</v>
      </c>
      <c r="DT132" s="123">
        <f>DT125</f>
        <v>0</v>
      </c>
      <c r="DU132" s="123">
        <f>DU125</f>
        <v>2000</v>
      </c>
      <c r="DW132" s="123">
        <f>DW125</f>
        <v>0</v>
      </c>
      <c r="DX132" s="123">
        <f>DX125</f>
        <v>2000</v>
      </c>
      <c r="DZ132" s="123">
        <f>DZ125</f>
        <v>0</v>
      </c>
      <c r="EA132" s="123">
        <f>EA125</f>
        <v>2000</v>
      </c>
      <c r="EC132" s="123">
        <f>EC125</f>
        <v>-2000</v>
      </c>
      <c r="ED132" s="123">
        <f>ED125</f>
        <v>0</v>
      </c>
      <c r="EF132" s="123">
        <f>EF125</f>
        <v>0</v>
      </c>
      <c r="EG132" s="123">
        <f>EG125</f>
        <v>0</v>
      </c>
      <c r="EI132" s="123">
        <f>EI125</f>
        <v>0</v>
      </c>
      <c r="EK132" s="123">
        <f>EK125</f>
        <v>0</v>
      </c>
      <c r="EM132" s="123">
        <f>EM125</f>
        <v>0</v>
      </c>
      <c r="EN132" s="123">
        <f>EN125</f>
        <v>0</v>
      </c>
      <c r="EP132" s="123">
        <f>EP125</f>
        <v>0</v>
      </c>
      <c r="EQ132" s="123">
        <f>EQ125</f>
        <v>0</v>
      </c>
      <c r="ES132" s="123">
        <f>ES125</f>
        <v>0</v>
      </c>
      <c r="ET132" s="123">
        <f>ET125</f>
        <v>0</v>
      </c>
      <c r="EV132" s="123">
        <f>EV125</f>
        <v>0</v>
      </c>
      <c r="EW132" s="123">
        <f>EW125</f>
        <v>0</v>
      </c>
      <c r="EY132" s="123">
        <f>EY125</f>
        <v>0</v>
      </c>
      <c r="EZ132" s="123">
        <f>EZ125</f>
        <v>0</v>
      </c>
      <c r="FB132" s="123">
        <f>FB125</f>
        <v>25000</v>
      </c>
      <c r="FC132" s="123">
        <f>FC125</f>
        <v>25000</v>
      </c>
      <c r="FE132" s="123">
        <f>FE125</f>
        <v>0</v>
      </c>
      <c r="FF132" s="123">
        <f>FF125</f>
        <v>25000</v>
      </c>
      <c r="FH132" s="123">
        <f>FH125</f>
        <v>0</v>
      </c>
      <c r="FI132" s="123">
        <f>FI125</f>
        <v>25000</v>
      </c>
      <c r="FK132" s="123">
        <f>FK125</f>
        <v>-10000</v>
      </c>
      <c r="FL132" s="123">
        <f>FL125</f>
        <v>15000</v>
      </c>
      <c r="FN132" s="123">
        <f>FN125</f>
        <v>0</v>
      </c>
      <c r="FO132" s="123">
        <f>FO125</f>
        <v>15000</v>
      </c>
      <c r="FQ132" s="123">
        <v>0</v>
      </c>
      <c r="FR132" s="123">
        <v>15000</v>
      </c>
      <c r="FT132" s="123">
        <f>FT125</f>
        <v>8373.2000000000007</v>
      </c>
      <c r="FV132" s="123">
        <f>FV125</f>
        <v>5000</v>
      </c>
      <c r="FW132" s="235">
        <f t="shared" si="453"/>
        <v>0.59714326661252559</v>
      </c>
      <c r="FY132" s="123">
        <f>FY125</f>
        <v>0</v>
      </c>
      <c r="FZ132" s="123">
        <f>FZ125</f>
        <v>5000</v>
      </c>
      <c r="GB132" s="123">
        <f>GB125</f>
        <v>0</v>
      </c>
      <c r="GC132" s="123">
        <f>GC125</f>
        <v>5000</v>
      </c>
      <c r="GE132" s="123">
        <f>GE125</f>
        <v>0</v>
      </c>
      <c r="GF132" s="123">
        <f>GF125</f>
        <v>5000</v>
      </c>
      <c r="GH132" s="123">
        <f>GH125</f>
        <v>0</v>
      </c>
      <c r="GI132" s="123">
        <f>GI125</f>
        <v>5000</v>
      </c>
      <c r="GK132" s="123">
        <f>GK125</f>
        <v>0</v>
      </c>
      <c r="GL132" s="123">
        <f>GL125</f>
        <v>5000</v>
      </c>
      <c r="GN132" s="123">
        <f>GN125</f>
        <v>0</v>
      </c>
      <c r="GO132" s="123">
        <f>GO125</f>
        <v>5000</v>
      </c>
      <c r="GQ132" s="123">
        <f>GQ125</f>
        <v>0</v>
      </c>
      <c r="GR132" s="123">
        <f>GR125</f>
        <v>5000</v>
      </c>
      <c r="GT132" s="123">
        <f>GT125</f>
        <v>0</v>
      </c>
      <c r="GU132" s="123">
        <f>GU125</f>
        <v>5000</v>
      </c>
      <c r="GW132" s="123">
        <f>GW125</f>
        <v>0</v>
      </c>
      <c r="GX132" s="123">
        <f>GX125</f>
        <v>5000</v>
      </c>
      <c r="GZ132" s="123">
        <f>GZ125</f>
        <v>0</v>
      </c>
      <c r="HA132" s="431">
        <f>HA125</f>
        <v>5000</v>
      </c>
      <c r="HC132" s="123">
        <f>HC125</f>
        <v>0</v>
      </c>
      <c r="HE132" s="123">
        <f>HE125</f>
        <v>2000</v>
      </c>
      <c r="HF132" s="235" t="e">
        <f>HE132/HC132</f>
        <v>#DIV/0!</v>
      </c>
    </row>
    <row r="133" spans="1:214" ht="15.75" hidden="1" outlineLevel="1" thickTop="1">
      <c r="A133" s="1" t="s">
        <v>171</v>
      </c>
      <c r="B133" s="1" t="s">
        <v>115</v>
      </c>
      <c r="C133" s="4" t="s">
        <v>116</v>
      </c>
      <c r="D133" s="43">
        <v>36000</v>
      </c>
      <c r="E133" s="34">
        <v>7</v>
      </c>
      <c r="F133" s="43">
        <v>146000</v>
      </c>
      <c r="G133" s="34">
        <v>1.73</v>
      </c>
      <c r="H133" s="46">
        <v>2520</v>
      </c>
      <c r="I133" s="36">
        <v>2520</v>
      </c>
      <c r="J133" s="14"/>
      <c r="L133" s="118">
        <v>0</v>
      </c>
      <c r="M133" s="17">
        <f>L133/F133-1</f>
        <v>-1</v>
      </c>
      <c r="N133" s="17">
        <f>L133/I133-1</f>
        <v>-1</v>
      </c>
      <c r="Y133" s="118"/>
      <c r="AF133" s="182"/>
      <c r="AH133" s="15"/>
      <c r="AX133" s="15"/>
      <c r="BD133" s="15"/>
      <c r="BG133" s="15"/>
      <c r="BM133">
        <v>0</v>
      </c>
      <c r="BQ133" s="15"/>
      <c r="BR133" s="15">
        <f t="shared" ref="BR133:BR134" si="455">BM133+BQ133</f>
        <v>0</v>
      </c>
      <c r="BT133" s="15"/>
      <c r="BU133" s="15">
        <f>BR133+BT133</f>
        <v>0</v>
      </c>
      <c r="BW133" s="15"/>
      <c r="BX133" s="15">
        <f>BU133+BW133</f>
        <v>0</v>
      </c>
      <c r="BZ133" s="15"/>
      <c r="CA133" s="15">
        <f>BX133+BZ133</f>
        <v>0</v>
      </c>
      <c r="CC133" s="15"/>
      <c r="CD133" s="15">
        <f>CA133+CC133</f>
        <v>0</v>
      </c>
      <c r="CF133" s="15"/>
      <c r="CG133" s="15">
        <f>CD133+CF133</f>
        <v>0</v>
      </c>
      <c r="CI133" s="15"/>
      <c r="CJ133" s="15">
        <f>CG133+CI133</f>
        <v>0</v>
      </c>
      <c r="CM133" s="15">
        <f>CJ133+CL133</f>
        <v>0</v>
      </c>
      <c r="CP133" s="15">
        <f>CM133+CO133</f>
        <v>0</v>
      </c>
      <c r="CS133" s="15">
        <f>CP133+CR133</f>
        <v>0</v>
      </c>
      <c r="CV133" s="15">
        <f>CS133+CU133</f>
        <v>0</v>
      </c>
      <c r="CY133" s="15">
        <f>CV133+CX133</f>
        <v>0</v>
      </c>
      <c r="DA133" s="15">
        <v>0</v>
      </c>
      <c r="DC133" s="15">
        <v>0</v>
      </c>
      <c r="DE133" s="15"/>
      <c r="DH133" s="15"/>
      <c r="DK133" s="15"/>
      <c r="DN133" s="15"/>
      <c r="DQ133" s="15"/>
      <c r="DT133" s="15"/>
      <c r="DW133" s="15"/>
      <c r="DZ133" s="15"/>
      <c r="EC133" s="15"/>
      <c r="EF133" s="15"/>
      <c r="EK133" s="15"/>
      <c r="EM133" s="15"/>
      <c r="EP133" s="15"/>
      <c r="ES133" s="15"/>
      <c r="GB133" s="15"/>
      <c r="GE133" s="15"/>
      <c r="GH133" s="15"/>
      <c r="GK133" s="15"/>
      <c r="GN133" s="15"/>
      <c r="GQ133" s="15"/>
      <c r="GT133" s="15"/>
      <c r="GW133" s="15"/>
      <c r="GZ133" s="15"/>
    </row>
    <row r="134" spans="1:214" hidden="1" outlineLevel="1">
      <c r="A134" s="1" t="s">
        <v>171</v>
      </c>
      <c r="B134" s="1" t="s">
        <v>208</v>
      </c>
      <c r="C134" s="4" t="s">
        <v>209</v>
      </c>
      <c r="D134" s="43">
        <v>0</v>
      </c>
      <c r="E134" s="34">
        <v>0</v>
      </c>
      <c r="F134" s="43">
        <v>0</v>
      </c>
      <c r="G134" s="34">
        <v>0</v>
      </c>
      <c r="H134" s="46">
        <v>108900</v>
      </c>
      <c r="I134" s="36">
        <v>135000</v>
      </c>
      <c r="J134" s="14"/>
      <c r="L134" s="118">
        <v>0</v>
      </c>
      <c r="M134" s="17" t="e">
        <f>L134/F134-1</f>
        <v>#DIV/0!</v>
      </c>
      <c r="N134" s="17">
        <f>L134/I134-1</f>
        <v>-1</v>
      </c>
      <c r="Q134" s="118">
        <v>23000</v>
      </c>
      <c r="R134" s="15">
        <v>22990</v>
      </c>
      <c r="S134" s="118">
        <v>23000</v>
      </c>
      <c r="T134" s="15">
        <f>S134-Q134</f>
        <v>0</v>
      </c>
      <c r="U134" s="16">
        <f>S134/Q134-1</f>
        <v>0</v>
      </c>
      <c r="V134" s="140">
        <v>23000</v>
      </c>
      <c r="W134">
        <v>23000</v>
      </c>
      <c r="Y134" s="118">
        <v>23000</v>
      </c>
      <c r="AA134" s="118">
        <v>23000</v>
      </c>
      <c r="AB134" s="185">
        <f t="shared" ref="AB134" si="456">AA134-Y134</f>
        <v>0</v>
      </c>
      <c r="AC134" s="187">
        <f t="shared" ref="AC134" si="457">AA134-Y134</f>
        <v>0</v>
      </c>
      <c r="AD134" s="187"/>
      <c r="AE134" s="118">
        <v>23000</v>
      </c>
      <c r="AF134" s="182"/>
      <c r="AH134" s="15">
        <v>22990</v>
      </c>
      <c r="AI134" s="17">
        <f t="shared" ref="AI134" si="458">AH134/AE134</f>
        <v>0.99956521739130433</v>
      </c>
      <c r="AK134" s="118">
        <v>0</v>
      </c>
      <c r="AX134" s="15"/>
      <c r="BD134" s="15"/>
      <c r="BG134" s="15"/>
      <c r="BM134">
        <v>0</v>
      </c>
      <c r="BQ134" s="15"/>
      <c r="BR134" s="15">
        <f t="shared" si="455"/>
        <v>0</v>
      </c>
      <c r="BT134" s="15"/>
      <c r="BU134" s="15">
        <f>BR134+BT134</f>
        <v>0</v>
      </c>
      <c r="BW134" s="15"/>
      <c r="BX134" s="15">
        <f>BU134+BW134</f>
        <v>0</v>
      </c>
      <c r="BZ134" s="15"/>
      <c r="CA134" s="15">
        <f>BX134+BZ134</f>
        <v>0</v>
      </c>
      <c r="CC134" s="15"/>
      <c r="CD134" s="15">
        <f>CA134+CC134</f>
        <v>0</v>
      </c>
      <c r="CF134" s="15"/>
      <c r="CG134" s="15">
        <f>CD134+CF134</f>
        <v>0</v>
      </c>
      <c r="CI134" s="15"/>
      <c r="CJ134" s="15">
        <f>CG134+CI134</f>
        <v>0</v>
      </c>
      <c r="CM134" s="15">
        <f>CJ134+CL134</f>
        <v>0</v>
      </c>
      <c r="CP134" s="15">
        <f>CM134+CO134</f>
        <v>0</v>
      </c>
      <c r="CS134" s="15">
        <f>CP134+CR134</f>
        <v>0</v>
      </c>
      <c r="CV134" s="15">
        <f>CS134+CU134</f>
        <v>0</v>
      </c>
      <c r="CY134" s="15">
        <f>CV134+CX134</f>
        <v>0</v>
      </c>
      <c r="DA134" s="15">
        <v>0</v>
      </c>
      <c r="DC134" s="15">
        <v>0</v>
      </c>
      <c r="DE134" s="15"/>
      <c r="DH134" s="15"/>
      <c r="DK134" s="15"/>
      <c r="DN134" s="15"/>
      <c r="DQ134" s="15"/>
      <c r="DT134" s="15"/>
      <c r="DW134" s="15"/>
      <c r="DZ134" s="15"/>
      <c r="EC134" s="15"/>
      <c r="EF134" s="15"/>
      <c r="EK134" s="15"/>
      <c r="EM134" s="15"/>
      <c r="EP134" s="15"/>
      <c r="ES134" s="15"/>
      <c r="GB134" s="15"/>
      <c r="GE134" s="15"/>
      <c r="GH134" s="15"/>
      <c r="GK134" s="15"/>
      <c r="GN134" s="15"/>
      <c r="GQ134" s="15"/>
      <c r="GT134" s="15"/>
      <c r="GW134" s="15"/>
      <c r="GZ134" s="15"/>
    </row>
    <row r="135" spans="1:214" ht="17.25" hidden="1" customHeight="1" outlineLevel="1">
      <c r="A135" s="1" t="s">
        <v>171</v>
      </c>
      <c r="B135" s="4" t="s">
        <v>46</v>
      </c>
      <c r="C135" s="4" t="s">
        <v>172</v>
      </c>
      <c r="D135" s="43">
        <v>36000</v>
      </c>
      <c r="E135" s="34">
        <v>309.5</v>
      </c>
      <c r="F135" s="43">
        <v>146000</v>
      </c>
      <c r="G135" s="34">
        <v>76.319999999999993</v>
      </c>
      <c r="H135" s="46">
        <v>111420</v>
      </c>
      <c r="I135" s="36"/>
      <c r="J135" s="14"/>
      <c r="Y135" s="118"/>
      <c r="AF135" s="182"/>
      <c r="AH135" s="15"/>
      <c r="AS135" s="15">
        <f t="shared" ref="AS135" si="459">AR135+AK135</f>
        <v>0</v>
      </c>
      <c r="AX135" s="15"/>
      <c r="BD135" s="15"/>
      <c r="BG135" s="15"/>
      <c r="DE135" s="15"/>
      <c r="DH135" s="15"/>
      <c r="DK135" s="15"/>
      <c r="DN135" s="15"/>
      <c r="DQ135" s="15"/>
      <c r="DT135" s="15"/>
      <c r="DW135" s="15"/>
      <c r="DZ135" s="15"/>
      <c r="EC135" s="15"/>
      <c r="EF135" s="15"/>
      <c r="EK135" s="15"/>
      <c r="EM135" s="15"/>
      <c r="EP135" s="15"/>
      <c r="ES135" s="15"/>
      <c r="GB135" s="15"/>
      <c r="GE135" s="15"/>
      <c r="GH135" s="15"/>
      <c r="GK135" s="15"/>
      <c r="GN135" s="15"/>
      <c r="GQ135" s="15"/>
      <c r="GT135" s="15"/>
      <c r="GW135" s="15"/>
      <c r="GZ135" s="15"/>
    </row>
    <row r="136" spans="1:214" ht="17.25" customHeight="1" collapsed="1" thickTop="1" thickBot="1">
      <c r="A136" s="54" t="s">
        <v>171</v>
      </c>
      <c r="B136" s="55" t="s">
        <v>316</v>
      </c>
      <c r="C136" s="283" t="s">
        <v>172</v>
      </c>
      <c r="D136" s="57">
        <f>D133</f>
        <v>36000</v>
      </c>
      <c r="E136" s="58"/>
      <c r="F136" s="57">
        <f>F133</f>
        <v>146000</v>
      </c>
      <c r="G136" s="58"/>
      <c r="H136" s="57"/>
      <c r="I136" s="57">
        <f>I133</f>
        <v>2520</v>
      </c>
      <c r="J136" s="138" t="e">
        <f>I136/$I$350</f>
        <v>#REF!</v>
      </c>
      <c r="K136" s="60"/>
      <c r="L136" s="122">
        <f>L133</f>
        <v>0</v>
      </c>
      <c r="M136" s="61">
        <f t="shared" ref="M136:M144" si="460">L136/F136-1</f>
        <v>-1</v>
      </c>
      <c r="N136" s="61">
        <f t="shared" ref="N136:N144" si="461">L136/I136-1</f>
        <v>-1</v>
      </c>
      <c r="O136" s="17">
        <f>L136/$L$350</f>
        <v>0</v>
      </c>
      <c r="P136" s="17"/>
      <c r="Q136" s="122">
        <f t="shared" ref="Q136:T137" si="462">Q133</f>
        <v>0</v>
      </c>
      <c r="R136" s="122">
        <f t="shared" si="462"/>
        <v>0</v>
      </c>
      <c r="S136" s="122">
        <f t="shared" si="462"/>
        <v>0</v>
      </c>
      <c r="T136" s="122">
        <f t="shared" si="462"/>
        <v>0</v>
      </c>
      <c r="U136" s="155" t="e">
        <f>S136/Q136-1</f>
        <v>#DIV/0!</v>
      </c>
      <c r="Y136" s="122">
        <f>Y133</f>
        <v>0</v>
      </c>
      <c r="AA136" s="122">
        <f>AA133</f>
        <v>0</v>
      </c>
      <c r="AB136" s="122">
        <f>AB133</f>
        <v>0</v>
      </c>
      <c r="AE136" s="122">
        <f>AE133</f>
        <v>0</v>
      </c>
      <c r="AF136" s="182"/>
      <c r="AH136" s="122">
        <f>AH133</f>
        <v>0</v>
      </c>
      <c r="AI136" s="17" t="e">
        <f t="shared" ref="AI136:AI140" si="463">AH136/AE136</f>
        <v>#DIV/0!</v>
      </c>
      <c r="AK136" s="122">
        <f>AK133</f>
        <v>0</v>
      </c>
      <c r="AL136" s="193" t="e">
        <f t="shared" ref="AL136:AL137" si="464">AK136/L136</f>
        <v>#DIV/0!</v>
      </c>
      <c r="AM136" s="17" t="e">
        <f t="shared" ref="AM136:AM137" si="465">AK136/AE136</f>
        <v>#DIV/0!</v>
      </c>
      <c r="AN136" s="17" t="e">
        <f t="shared" ref="AN136:AN137" si="466">AK136/AH136</f>
        <v>#DIV/0!</v>
      </c>
      <c r="AS136" s="122">
        <f>AS133</f>
        <v>0</v>
      </c>
      <c r="AU136" s="122">
        <f>AU133</f>
        <v>0</v>
      </c>
      <c r="AV136" s="122">
        <f>AV133</f>
        <v>0</v>
      </c>
      <c r="AX136" s="122">
        <f>AX133</f>
        <v>0</v>
      </c>
      <c r="AY136" s="122">
        <f>AY133</f>
        <v>0</v>
      </c>
      <c r="BA136" s="122">
        <f>BA133</f>
        <v>0</v>
      </c>
      <c r="BB136" s="122">
        <f>BB133</f>
        <v>0</v>
      </c>
      <c r="BD136" s="122">
        <f>BD133</f>
        <v>0</v>
      </c>
      <c r="BE136" s="122">
        <f>BE133</f>
        <v>0</v>
      </c>
      <c r="BG136" s="122">
        <f>BG133</f>
        <v>0</v>
      </c>
      <c r="BH136" s="122">
        <f>BH133</f>
        <v>0</v>
      </c>
      <c r="BJ136" s="122">
        <f>BJ133</f>
        <v>0</v>
      </c>
      <c r="BK136" s="236" t="e">
        <f t="shared" ref="BK136:BK137" si="467">BJ136/BH136</f>
        <v>#DIV/0!</v>
      </c>
      <c r="BM136" s="122">
        <f>BM133</f>
        <v>0</v>
      </c>
      <c r="BN136" s="236" t="e">
        <f t="shared" ref="BN136:BN137" si="468">BM136/BJ136</f>
        <v>#DIV/0!</v>
      </c>
      <c r="BO136" s="236" t="e">
        <f t="shared" ref="BO136:BO137" si="469">BM136/BH136</f>
        <v>#DIV/0!</v>
      </c>
      <c r="BQ136" s="122">
        <f>BQ133</f>
        <v>0</v>
      </c>
      <c r="BR136" s="122">
        <f>BR133</f>
        <v>0</v>
      </c>
      <c r="BT136" s="122">
        <f>BT133</f>
        <v>0</v>
      </c>
      <c r="BU136" s="122">
        <f>BU133</f>
        <v>0</v>
      </c>
      <c r="BW136" s="122">
        <f>BW133</f>
        <v>0</v>
      </c>
      <c r="BX136" s="122">
        <f>BX133</f>
        <v>0</v>
      </c>
      <c r="BZ136" s="122">
        <f>BZ133</f>
        <v>0</v>
      </c>
      <c r="CA136" s="122">
        <f>CA133</f>
        <v>0</v>
      </c>
      <c r="CC136" s="122">
        <f>CC133</f>
        <v>0</v>
      </c>
      <c r="CD136" s="122">
        <f>CD133</f>
        <v>0</v>
      </c>
      <c r="CF136" s="122">
        <f>CF133</f>
        <v>0</v>
      </c>
      <c r="CG136" s="122">
        <f>CG133</f>
        <v>0</v>
      </c>
      <c r="CI136" s="122">
        <f>CI133</f>
        <v>0</v>
      </c>
      <c r="CJ136" s="122">
        <f>CJ133</f>
        <v>0</v>
      </c>
      <c r="CL136" s="319">
        <f>CL133</f>
        <v>0</v>
      </c>
      <c r="CM136" s="122">
        <f>CM133</f>
        <v>0</v>
      </c>
      <c r="CO136" s="122">
        <f>CO133</f>
        <v>0</v>
      </c>
      <c r="CP136" s="122">
        <f>CP133</f>
        <v>0</v>
      </c>
      <c r="CR136" s="122">
        <f>CR133</f>
        <v>0</v>
      </c>
      <c r="CS136" s="122">
        <f>CS133</f>
        <v>0</v>
      </c>
      <c r="CU136" s="122">
        <f>CU133</f>
        <v>0</v>
      </c>
      <c r="CV136" s="122">
        <f>CV133</f>
        <v>0</v>
      </c>
      <c r="CX136" s="122">
        <f>CX133</f>
        <v>0</v>
      </c>
      <c r="CY136" s="122">
        <f>CY133</f>
        <v>0</v>
      </c>
      <c r="DA136" s="122">
        <f>DA133</f>
        <v>0</v>
      </c>
      <c r="DC136" s="122">
        <f>DC133</f>
        <v>0</v>
      </c>
      <c r="DE136" s="122">
        <f>DE133</f>
        <v>0</v>
      </c>
      <c r="DF136" s="122">
        <f>DF133</f>
        <v>0</v>
      </c>
      <c r="DH136" s="122">
        <f>DH133</f>
        <v>0</v>
      </c>
      <c r="DI136" s="122">
        <f>DI133</f>
        <v>0</v>
      </c>
      <c r="DK136" s="122">
        <f>DK133</f>
        <v>0</v>
      </c>
      <c r="DL136" s="122">
        <f>DL133</f>
        <v>0</v>
      </c>
      <c r="DN136" s="122">
        <f>DN133</f>
        <v>0</v>
      </c>
      <c r="DO136" s="122">
        <f>DO133</f>
        <v>0</v>
      </c>
      <c r="DQ136" s="122">
        <f>DQ133</f>
        <v>0</v>
      </c>
      <c r="DR136" s="122">
        <f>DR133</f>
        <v>0</v>
      </c>
      <c r="DT136" s="122">
        <f>DT133</f>
        <v>0</v>
      </c>
      <c r="DU136" s="122">
        <f>DU133</f>
        <v>0</v>
      </c>
      <c r="DW136" s="122">
        <f>DW133</f>
        <v>0</v>
      </c>
      <c r="DX136" s="122">
        <f>DX133</f>
        <v>0</v>
      </c>
      <c r="DZ136" s="122">
        <f>DZ133</f>
        <v>0</v>
      </c>
      <c r="EA136" s="122">
        <f>EA133</f>
        <v>0</v>
      </c>
      <c r="EC136" s="122">
        <f>EC133</f>
        <v>0</v>
      </c>
      <c r="ED136" s="122">
        <f>ED133</f>
        <v>0</v>
      </c>
      <c r="EF136" s="122">
        <f>EF133</f>
        <v>0</v>
      </c>
      <c r="EG136" s="122">
        <f>EG133</f>
        <v>0</v>
      </c>
      <c r="EI136" s="122">
        <f>EI133</f>
        <v>0</v>
      </c>
      <c r="EK136" s="122">
        <f>EK133</f>
        <v>0</v>
      </c>
      <c r="EM136" s="122">
        <f>EM133</f>
        <v>0</v>
      </c>
      <c r="EN136" s="122">
        <f>EN133</f>
        <v>0</v>
      </c>
      <c r="EP136" s="122">
        <f>EP133</f>
        <v>0</v>
      </c>
      <c r="EQ136" s="122">
        <f>EQ133</f>
        <v>0</v>
      </c>
      <c r="ES136" s="122">
        <f>ES133</f>
        <v>0</v>
      </c>
      <c r="ET136" s="122">
        <f>ET133</f>
        <v>0</v>
      </c>
      <c r="EV136" s="122">
        <f>EV133</f>
        <v>0</v>
      </c>
      <c r="EW136" s="122">
        <f>EW133</f>
        <v>0</v>
      </c>
      <c r="EY136" s="122">
        <f>EY133</f>
        <v>0</v>
      </c>
      <c r="EZ136" s="122">
        <f>EZ133</f>
        <v>0</v>
      </c>
      <c r="FB136" s="122">
        <f>FB133</f>
        <v>0</v>
      </c>
      <c r="FC136" s="122">
        <f>FC133</f>
        <v>0</v>
      </c>
      <c r="FE136" s="122">
        <f>FE133</f>
        <v>0</v>
      </c>
      <c r="FF136" s="122">
        <f>FF133</f>
        <v>0</v>
      </c>
      <c r="FH136" s="122">
        <f>FH133</f>
        <v>0</v>
      </c>
      <c r="FI136" s="122">
        <f>FI133</f>
        <v>0</v>
      </c>
      <c r="FK136" s="122">
        <f>FK133</f>
        <v>0</v>
      </c>
      <c r="FL136" s="122">
        <f>FL133</f>
        <v>0</v>
      </c>
      <c r="FN136" s="122">
        <f>FN133</f>
        <v>0</v>
      </c>
      <c r="FO136" s="122">
        <f>FO133</f>
        <v>0</v>
      </c>
      <c r="FQ136" s="122">
        <v>0</v>
      </c>
      <c r="FR136" s="122">
        <v>0</v>
      </c>
      <c r="FT136" s="122">
        <f>FT133</f>
        <v>0</v>
      </c>
      <c r="FV136" s="122">
        <f>FV133</f>
        <v>0</v>
      </c>
      <c r="FW136" s="235" t="e">
        <f t="shared" ref="FW136:FW137" si="470">FV136/FT136</f>
        <v>#DIV/0!</v>
      </c>
      <c r="FY136" s="122">
        <f>FY133</f>
        <v>0</v>
      </c>
      <c r="FZ136" s="122">
        <f>FZ133</f>
        <v>0</v>
      </c>
      <c r="GB136" s="122">
        <f>GB133</f>
        <v>0</v>
      </c>
      <c r="GC136" s="122">
        <f>GC133</f>
        <v>0</v>
      </c>
      <c r="GE136" s="122">
        <f>GE133</f>
        <v>0</v>
      </c>
      <c r="GF136" s="122">
        <f>GF133</f>
        <v>0</v>
      </c>
      <c r="GH136" s="122">
        <f>GH133</f>
        <v>0</v>
      </c>
      <c r="GI136" s="122">
        <f>GI133</f>
        <v>0</v>
      </c>
      <c r="GK136" s="122">
        <f>GK133</f>
        <v>0</v>
      </c>
      <c r="GL136" s="122">
        <f>GL133</f>
        <v>0</v>
      </c>
      <c r="GN136" s="122">
        <f>GN133</f>
        <v>0</v>
      </c>
      <c r="GO136" s="122">
        <f>GO133</f>
        <v>0</v>
      </c>
      <c r="GQ136" s="122">
        <f>GQ133</f>
        <v>0</v>
      </c>
      <c r="GR136" s="122">
        <f>GR133</f>
        <v>0</v>
      </c>
      <c r="GT136" s="122">
        <f>GT133</f>
        <v>0</v>
      </c>
      <c r="GU136" s="122">
        <f>GU133</f>
        <v>0</v>
      </c>
      <c r="GW136" s="122">
        <f>GW133</f>
        <v>0</v>
      </c>
      <c r="GX136" s="122">
        <f>GX133</f>
        <v>0</v>
      </c>
      <c r="GZ136" s="122">
        <f>GZ133</f>
        <v>0</v>
      </c>
      <c r="HA136" s="430">
        <f>HA133</f>
        <v>0</v>
      </c>
      <c r="HC136" s="122">
        <f>HC133</f>
        <v>0</v>
      </c>
      <c r="HE136" s="122">
        <f>HE133</f>
        <v>0</v>
      </c>
      <c r="HF136" s="235" t="e">
        <f>HE136/HC136</f>
        <v>#DIV/0!</v>
      </c>
    </row>
    <row r="137" spans="1:214" ht="15.75" customHeight="1" thickTop="1" thickBot="1">
      <c r="A137" s="75" t="s">
        <v>171</v>
      </c>
      <c r="B137" s="76" t="s">
        <v>277</v>
      </c>
      <c r="C137" s="285" t="s">
        <v>335</v>
      </c>
      <c r="D137" s="78">
        <f>D134</f>
        <v>0</v>
      </c>
      <c r="E137" s="79"/>
      <c r="F137" s="78">
        <f>F134</f>
        <v>0</v>
      </c>
      <c r="G137" s="79"/>
      <c r="H137" s="78"/>
      <c r="I137" s="78">
        <f>I134</f>
        <v>135000</v>
      </c>
      <c r="J137" s="80"/>
      <c r="K137" s="77"/>
      <c r="L137" s="124">
        <f>L134</f>
        <v>0</v>
      </c>
      <c r="M137" s="81" t="e">
        <f t="shared" si="460"/>
        <v>#DIV/0!</v>
      </c>
      <c r="N137" s="81">
        <f t="shared" si="461"/>
        <v>-1</v>
      </c>
      <c r="Q137" s="124">
        <f t="shared" si="462"/>
        <v>23000</v>
      </c>
      <c r="R137" s="124">
        <f t="shared" si="462"/>
        <v>22990</v>
      </c>
      <c r="S137" s="124">
        <f t="shared" si="462"/>
        <v>23000</v>
      </c>
      <c r="T137" s="124">
        <f t="shared" si="462"/>
        <v>0</v>
      </c>
      <c r="U137" s="156">
        <f>S137/Q137-1</f>
        <v>0</v>
      </c>
      <c r="Y137" s="124">
        <f>Y134</f>
        <v>23000</v>
      </c>
      <c r="AA137" s="124">
        <f>AA134</f>
        <v>23000</v>
      </c>
      <c r="AB137" s="124">
        <f>AB134</f>
        <v>0</v>
      </c>
      <c r="AE137" s="124">
        <f>AE134</f>
        <v>23000</v>
      </c>
      <c r="AF137" s="182"/>
      <c r="AH137" s="124">
        <f>AH134</f>
        <v>22990</v>
      </c>
      <c r="AI137" s="17">
        <f t="shared" si="463"/>
        <v>0.99956521739130433</v>
      </c>
      <c r="AK137" s="124">
        <f>AK134</f>
        <v>0</v>
      </c>
      <c r="AL137" s="193" t="e">
        <f t="shared" si="464"/>
        <v>#DIV/0!</v>
      </c>
      <c r="AM137" s="17">
        <f t="shared" si="465"/>
        <v>0</v>
      </c>
      <c r="AN137" s="17">
        <f t="shared" si="466"/>
        <v>0</v>
      </c>
      <c r="AS137" s="124">
        <f>AS134</f>
        <v>0</v>
      </c>
      <c r="AU137" s="124">
        <f>AU134</f>
        <v>0</v>
      </c>
      <c r="AV137" s="124">
        <f>AV134</f>
        <v>0</v>
      </c>
      <c r="AX137" s="124">
        <f>AX134</f>
        <v>0</v>
      </c>
      <c r="AY137" s="124">
        <f>AY134</f>
        <v>0</v>
      </c>
      <c r="BA137" s="124">
        <f>BA134</f>
        <v>0</v>
      </c>
      <c r="BB137" s="124">
        <f>BB134</f>
        <v>0</v>
      </c>
      <c r="BD137" s="124">
        <f>BD134</f>
        <v>0</v>
      </c>
      <c r="BE137" s="124">
        <f>BE134</f>
        <v>0</v>
      </c>
      <c r="BG137" s="124">
        <f>BG134</f>
        <v>0</v>
      </c>
      <c r="BH137" s="124">
        <f>BH134</f>
        <v>0</v>
      </c>
      <c r="BJ137" s="124">
        <f>BJ134</f>
        <v>0</v>
      </c>
      <c r="BK137" s="237" t="e">
        <f t="shared" si="467"/>
        <v>#DIV/0!</v>
      </c>
      <c r="BM137" s="124">
        <f>BM134</f>
        <v>0</v>
      </c>
      <c r="BN137" s="237" t="e">
        <f t="shared" si="468"/>
        <v>#DIV/0!</v>
      </c>
      <c r="BO137" s="237" t="e">
        <f t="shared" si="469"/>
        <v>#DIV/0!</v>
      </c>
      <c r="BQ137" s="124">
        <f>BQ134</f>
        <v>0</v>
      </c>
      <c r="BR137" s="124">
        <f>BR134</f>
        <v>0</v>
      </c>
      <c r="BT137" s="124">
        <f>BT134</f>
        <v>0</v>
      </c>
      <c r="BU137" s="124">
        <f>BU134</f>
        <v>0</v>
      </c>
      <c r="BW137" s="124">
        <f>BW134</f>
        <v>0</v>
      </c>
      <c r="BX137" s="124">
        <f>BX134</f>
        <v>0</v>
      </c>
      <c r="BZ137" s="124">
        <f>BZ134</f>
        <v>0</v>
      </c>
      <c r="CA137" s="124">
        <f>CA134</f>
        <v>0</v>
      </c>
      <c r="CC137" s="124">
        <f>CC134</f>
        <v>0</v>
      </c>
      <c r="CD137" s="124">
        <f>CD134</f>
        <v>0</v>
      </c>
      <c r="CF137" s="124">
        <f>CF134</f>
        <v>0</v>
      </c>
      <c r="CG137" s="124">
        <f>CG134</f>
        <v>0</v>
      </c>
      <c r="CI137" s="124">
        <f>CI134</f>
        <v>0</v>
      </c>
      <c r="CJ137" s="124">
        <f>CJ134</f>
        <v>0</v>
      </c>
      <c r="CL137" s="319">
        <f>CL134</f>
        <v>0</v>
      </c>
      <c r="CM137" s="124">
        <f>CM134</f>
        <v>0</v>
      </c>
      <c r="CO137" s="124">
        <f>CO134</f>
        <v>0</v>
      </c>
      <c r="CP137" s="124">
        <f>CP134</f>
        <v>0</v>
      </c>
      <c r="CR137" s="124">
        <f>CR134</f>
        <v>0</v>
      </c>
      <c r="CS137" s="124">
        <f>CS134</f>
        <v>0</v>
      </c>
      <c r="CU137" s="124">
        <f>CU134</f>
        <v>0</v>
      </c>
      <c r="CV137" s="124">
        <f>CV134</f>
        <v>0</v>
      </c>
      <c r="CX137" s="124">
        <f>CX134</f>
        <v>0</v>
      </c>
      <c r="CY137" s="124">
        <f>CY134</f>
        <v>0</v>
      </c>
      <c r="DA137" s="124">
        <f>DA134</f>
        <v>0</v>
      </c>
      <c r="DC137" s="124">
        <f>DC134</f>
        <v>0</v>
      </c>
      <c r="DE137" s="124">
        <f>DE134</f>
        <v>0</v>
      </c>
      <c r="DF137" s="124">
        <f>DF134</f>
        <v>0</v>
      </c>
      <c r="DH137" s="124">
        <f>DH134</f>
        <v>0</v>
      </c>
      <c r="DI137" s="124">
        <f>DI134</f>
        <v>0</v>
      </c>
      <c r="DK137" s="124">
        <f>DK134</f>
        <v>0</v>
      </c>
      <c r="DL137" s="124">
        <f>DL134</f>
        <v>0</v>
      </c>
      <c r="DN137" s="124">
        <f>DN134</f>
        <v>0</v>
      </c>
      <c r="DO137" s="124">
        <f>DO134</f>
        <v>0</v>
      </c>
      <c r="DQ137" s="124">
        <f>DQ134</f>
        <v>0</v>
      </c>
      <c r="DR137" s="124">
        <f>DR134</f>
        <v>0</v>
      </c>
      <c r="DT137" s="124">
        <f>DT134</f>
        <v>0</v>
      </c>
      <c r="DU137" s="124">
        <f>DU134</f>
        <v>0</v>
      </c>
      <c r="DW137" s="124">
        <f>DW134</f>
        <v>0</v>
      </c>
      <c r="DX137" s="124">
        <f>DX134</f>
        <v>0</v>
      </c>
      <c r="DZ137" s="124">
        <f>DZ134</f>
        <v>0</v>
      </c>
      <c r="EA137" s="124">
        <f>EA134</f>
        <v>0</v>
      </c>
      <c r="EC137" s="124">
        <f>EC134</f>
        <v>0</v>
      </c>
      <c r="ED137" s="124">
        <f>ED134</f>
        <v>0</v>
      </c>
      <c r="EF137" s="124">
        <f>EF134</f>
        <v>0</v>
      </c>
      <c r="EG137" s="124">
        <f>EG134</f>
        <v>0</v>
      </c>
      <c r="EI137" s="124">
        <f>EI134</f>
        <v>0</v>
      </c>
      <c r="EK137" s="124">
        <f>EK134</f>
        <v>0</v>
      </c>
      <c r="EM137" s="124">
        <f>EM134</f>
        <v>0</v>
      </c>
      <c r="EN137" s="124">
        <f>EN134</f>
        <v>0</v>
      </c>
      <c r="EP137" s="124">
        <f>EP134</f>
        <v>0</v>
      </c>
      <c r="EQ137" s="124">
        <f>EQ134</f>
        <v>0</v>
      </c>
      <c r="ES137" s="124">
        <f>ES134</f>
        <v>0</v>
      </c>
      <c r="ET137" s="124">
        <f>ET134</f>
        <v>0</v>
      </c>
      <c r="EV137" s="124">
        <f>EV134</f>
        <v>0</v>
      </c>
      <c r="EW137" s="124">
        <f>EW134</f>
        <v>0</v>
      </c>
      <c r="EY137" s="124">
        <f>EY134</f>
        <v>0</v>
      </c>
      <c r="EZ137" s="124">
        <f>EZ134</f>
        <v>0</v>
      </c>
      <c r="FB137" s="124">
        <f>FB134</f>
        <v>0</v>
      </c>
      <c r="FC137" s="124">
        <f>FC134</f>
        <v>0</v>
      </c>
      <c r="FE137" s="124">
        <f>FE134</f>
        <v>0</v>
      </c>
      <c r="FF137" s="124">
        <f>FF134</f>
        <v>0</v>
      </c>
      <c r="FH137" s="124">
        <f>FH134</f>
        <v>0</v>
      </c>
      <c r="FI137" s="124">
        <f>FI134</f>
        <v>0</v>
      </c>
      <c r="FK137" s="124">
        <f>FK134</f>
        <v>0</v>
      </c>
      <c r="FL137" s="124">
        <f>FL134</f>
        <v>0</v>
      </c>
      <c r="FN137" s="124">
        <f>FN134</f>
        <v>0</v>
      </c>
      <c r="FO137" s="124">
        <f>FO134</f>
        <v>0</v>
      </c>
      <c r="FQ137" s="124">
        <v>0</v>
      </c>
      <c r="FR137" s="124">
        <v>0</v>
      </c>
      <c r="FT137" s="124">
        <f>FT134</f>
        <v>0</v>
      </c>
      <c r="FV137" s="124">
        <f>FV134</f>
        <v>0</v>
      </c>
      <c r="FW137" s="235" t="e">
        <f t="shared" si="470"/>
        <v>#DIV/0!</v>
      </c>
      <c r="FY137" s="124">
        <f>FY134</f>
        <v>0</v>
      </c>
      <c r="FZ137" s="124">
        <f>FZ134</f>
        <v>0</v>
      </c>
      <c r="GB137" s="124">
        <f>GB134</f>
        <v>0</v>
      </c>
      <c r="GC137" s="124">
        <f>GC134</f>
        <v>0</v>
      </c>
      <c r="GE137" s="124">
        <f>GE134</f>
        <v>0</v>
      </c>
      <c r="GF137" s="124">
        <f>GF134</f>
        <v>0</v>
      </c>
      <c r="GH137" s="124">
        <f>GH134</f>
        <v>0</v>
      </c>
      <c r="GI137" s="124">
        <f>GI134</f>
        <v>0</v>
      </c>
      <c r="GK137" s="124">
        <f>GK134</f>
        <v>0</v>
      </c>
      <c r="GL137" s="124">
        <f>GL134</f>
        <v>0</v>
      </c>
      <c r="GN137" s="124">
        <f>GN134</f>
        <v>0</v>
      </c>
      <c r="GO137" s="124">
        <f>GO134</f>
        <v>0</v>
      </c>
      <c r="GQ137" s="124">
        <f>GQ134</f>
        <v>0</v>
      </c>
      <c r="GR137" s="124">
        <f>GR134</f>
        <v>0</v>
      </c>
      <c r="GT137" s="124">
        <f>GT134</f>
        <v>0</v>
      </c>
      <c r="GU137" s="124">
        <f>GU134</f>
        <v>0</v>
      </c>
      <c r="GW137" s="124">
        <f>GW134</f>
        <v>0</v>
      </c>
      <c r="GX137" s="124">
        <f>GX134</f>
        <v>0</v>
      </c>
      <c r="GZ137" s="124">
        <f>GZ134</f>
        <v>0</v>
      </c>
      <c r="HA137" s="432">
        <f>HA134</f>
        <v>0</v>
      </c>
      <c r="HC137" s="124">
        <f>HC134</f>
        <v>0</v>
      </c>
      <c r="HE137" s="124">
        <f>HE134</f>
        <v>0</v>
      </c>
      <c r="HF137" s="235" t="e">
        <f>HE137/HC137</f>
        <v>#DIV/0!</v>
      </c>
    </row>
    <row r="138" spans="1:214" ht="15.75" customHeight="1" outlineLevel="1" thickTop="1">
      <c r="A138" s="1" t="s">
        <v>173</v>
      </c>
      <c r="B138" s="1" t="s">
        <v>142</v>
      </c>
      <c r="C138" s="4" t="s">
        <v>143</v>
      </c>
      <c r="D138" s="43"/>
      <c r="E138" s="34"/>
      <c r="F138" s="43"/>
      <c r="G138" s="34"/>
      <c r="H138" s="46"/>
      <c r="I138" s="36"/>
      <c r="J138" s="14"/>
      <c r="L138" s="118">
        <v>0</v>
      </c>
      <c r="M138" s="17" t="e">
        <f>L138/F138-1</f>
        <v>#DIV/0!</v>
      </c>
      <c r="N138" s="17" t="e">
        <f>L138/I138-1</f>
        <v>#DIV/0!</v>
      </c>
      <c r="Q138" s="118">
        <v>9500</v>
      </c>
      <c r="R138" s="15">
        <v>0</v>
      </c>
      <c r="S138" s="118">
        <v>9500</v>
      </c>
      <c r="T138" s="15">
        <f>S138-Q138</f>
        <v>0</v>
      </c>
      <c r="U138" s="16">
        <f>S138/Q138-1</f>
        <v>0</v>
      </c>
      <c r="V138" s="140">
        <v>9500</v>
      </c>
      <c r="W138">
        <v>9500</v>
      </c>
      <c r="Y138" s="118">
        <v>9500</v>
      </c>
      <c r="AA138" s="118">
        <v>9500</v>
      </c>
      <c r="AB138" s="185">
        <f t="shared" ref="AB138:AB140" si="471">AA138-Y138</f>
        <v>0</v>
      </c>
      <c r="AC138" s="187">
        <f t="shared" ref="AC138:AC144" si="472">AA138-Y138</f>
        <v>0</v>
      </c>
      <c r="AD138" s="187"/>
      <c r="AE138" s="118">
        <v>9500</v>
      </c>
      <c r="AF138" s="182"/>
      <c r="AH138" s="15">
        <v>9500</v>
      </c>
      <c r="AI138" s="17">
        <f t="shared" si="463"/>
        <v>1</v>
      </c>
      <c r="AK138" s="118">
        <v>0</v>
      </c>
      <c r="AS138" s="15">
        <f t="shared" ref="AS138:AS140" si="473">AR138+AK138</f>
        <v>0</v>
      </c>
      <c r="AV138" s="15">
        <f t="shared" ref="AV138:AV140" si="474">AS138+AU138</f>
        <v>0</v>
      </c>
      <c r="AX138" s="15"/>
      <c r="AY138" s="15">
        <f t="shared" ref="AY138:AY140" si="475">AV138+AX138</f>
        <v>0</v>
      </c>
      <c r="BB138" s="15">
        <f t="shared" ref="BB138:BB140" si="476">AY138+BA138</f>
        <v>0</v>
      </c>
      <c r="BD138" s="15"/>
      <c r="BE138" s="15">
        <f t="shared" ref="BE138:BE140" si="477">BB138+BD138</f>
        <v>0</v>
      </c>
      <c r="BG138" s="15"/>
      <c r="BH138" s="15">
        <f t="shared" ref="BH138:BH140" si="478">BE138+BG138</f>
        <v>0</v>
      </c>
      <c r="BM138" s="15"/>
      <c r="BQ138" s="15"/>
      <c r="BR138" s="15"/>
      <c r="BT138" s="15"/>
      <c r="BU138" s="15"/>
      <c r="BW138" s="15"/>
      <c r="BX138" s="15"/>
      <c r="BZ138" s="15"/>
      <c r="CA138" s="15"/>
      <c r="CC138" s="15"/>
      <c r="CD138" s="15"/>
      <c r="CF138" s="15"/>
      <c r="CG138" s="15"/>
      <c r="CI138" s="15"/>
      <c r="CJ138" s="15"/>
      <c r="CM138" s="15"/>
      <c r="CP138" s="15"/>
      <c r="CS138" s="15"/>
      <c r="CV138" s="15"/>
      <c r="CY138" s="15"/>
      <c r="DE138" s="15"/>
      <c r="DF138" s="15">
        <f t="shared" ref="DF138:DF140" si="479">DC138+DE138</f>
        <v>0</v>
      </c>
      <c r="DH138" s="15"/>
      <c r="DI138" s="15">
        <f t="shared" ref="DI138:DI140" si="480">DF138+DH138</f>
        <v>0</v>
      </c>
      <c r="DK138" s="15"/>
      <c r="DL138" s="15">
        <f t="shared" ref="DL138:DL140" si="481">DI138+DK138</f>
        <v>0</v>
      </c>
      <c r="DN138" s="15"/>
      <c r="DO138" s="15">
        <f t="shared" ref="DO138:DO140" si="482">DL138+DN138</f>
        <v>0</v>
      </c>
      <c r="DQ138" s="15"/>
      <c r="DR138" s="15">
        <f t="shared" ref="DR138:DR140" si="483">DO138+DQ138</f>
        <v>0</v>
      </c>
      <c r="DT138" s="15"/>
      <c r="DU138" s="15">
        <f t="shared" ref="DU138:DU140" si="484">DR138+DT138</f>
        <v>0</v>
      </c>
      <c r="DW138" s="15"/>
      <c r="DX138" s="15">
        <f t="shared" ref="DX138:DX140" si="485">DU138+DW138</f>
        <v>0</v>
      </c>
      <c r="DZ138" s="15"/>
      <c r="EA138" s="15">
        <f t="shared" ref="EA138:EA140" si="486">DX138+DZ138</f>
        <v>0</v>
      </c>
      <c r="EC138" s="15"/>
      <c r="ED138" s="15">
        <f t="shared" ref="ED138:ED140" si="487">EA138+EC138</f>
        <v>0</v>
      </c>
      <c r="EF138" s="15"/>
      <c r="EG138" s="15">
        <f t="shared" ref="EG138:EG140" si="488">ED138+EF138</f>
        <v>0</v>
      </c>
      <c r="EK138" s="15"/>
      <c r="EM138" s="15"/>
      <c r="EN138" s="15">
        <f t="shared" ref="EN138:EN140" si="489">EK138+EM138</f>
        <v>0</v>
      </c>
      <c r="EP138" s="15"/>
      <c r="EQ138" s="15">
        <f t="shared" ref="EQ138:EQ140" si="490">EN138+EP138</f>
        <v>0</v>
      </c>
      <c r="ES138" s="15"/>
      <c r="ET138" s="15">
        <f t="shared" ref="ET138:ET140" si="491">EQ138+ES138</f>
        <v>0</v>
      </c>
      <c r="EW138" s="15">
        <f t="shared" ref="EW138:EW140" si="492">ET138+EV138</f>
        <v>0</v>
      </c>
      <c r="EZ138" s="15">
        <f t="shared" ref="EZ138:EZ140" si="493">EW138+EY138</f>
        <v>0</v>
      </c>
      <c r="FC138" s="15">
        <f t="shared" ref="FC138:FC140" si="494">EZ138+FB138</f>
        <v>0</v>
      </c>
      <c r="FF138" s="15">
        <f t="shared" ref="FF138:FF140" si="495">FC138+FE138</f>
        <v>0</v>
      </c>
      <c r="FI138" s="15">
        <f t="shared" ref="FI138:FI140" si="496">FF138+FH138</f>
        <v>0</v>
      </c>
      <c r="FL138" s="15">
        <f t="shared" ref="FL138:FL140" si="497">FI138+FK138</f>
        <v>0</v>
      </c>
      <c r="FO138" s="15">
        <f t="shared" ref="FO138:FO140" si="498">FL138+FN138</f>
        <v>0</v>
      </c>
      <c r="FR138" s="15">
        <v>0</v>
      </c>
      <c r="FZ138" s="15">
        <f>FV138+FY138</f>
        <v>0</v>
      </c>
      <c r="GB138" s="15"/>
      <c r="GC138" s="15">
        <f>FZ138+GB138</f>
        <v>0</v>
      </c>
      <c r="GE138" s="15"/>
      <c r="GF138" s="15">
        <f>GC138+GE138</f>
        <v>0</v>
      </c>
      <c r="GH138" s="15"/>
      <c r="GI138" s="15">
        <f>GF138+GH138</f>
        <v>0</v>
      </c>
      <c r="GK138" s="15"/>
      <c r="GL138" s="15">
        <f>GI138+GK138</f>
        <v>0</v>
      </c>
      <c r="GN138" s="15"/>
      <c r="GO138" s="15">
        <f>GL138+GN138</f>
        <v>0</v>
      </c>
      <c r="GQ138" s="15"/>
      <c r="GR138" s="15">
        <f>GO138+GQ138</f>
        <v>0</v>
      </c>
      <c r="GT138" s="15"/>
      <c r="GU138" s="15">
        <f t="shared" ref="GU138:GU143" si="499">GR138+GT138</f>
        <v>0</v>
      </c>
      <c r="GW138" s="227">
        <v>17000</v>
      </c>
      <c r="GX138" s="15">
        <f t="shared" ref="GX138:GX144" si="500">GU138+GW138</f>
        <v>17000</v>
      </c>
      <c r="GZ138" s="15"/>
      <c r="HA138" s="189">
        <f t="shared" ref="HA138:HA144" si="501">GX138+GZ138</f>
        <v>17000</v>
      </c>
      <c r="HC138" s="189">
        <v>0</v>
      </c>
    </row>
    <row r="139" spans="1:214" ht="15.75" customHeight="1" outlineLevel="1">
      <c r="A139" s="1" t="s">
        <v>173</v>
      </c>
      <c r="B139" s="1" t="s">
        <v>714</v>
      </c>
      <c r="C139" s="4" t="s">
        <v>715</v>
      </c>
      <c r="D139" s="43"/>
      <c r="E139" s="34"/>
      <c r="F139" s="43"/>
      <c r="G139" s="34"/>
      <c r="H139" s="46"/>
      <c r="I139" s="36"/>
      <c r="J139" s="14"/>
      <c r="M139" s="17"/>
      <c r="N139" s="17"/>
      <c r="U139" s="16"/>
      <c r="Y139" s="118"/>
      <c r="AB139" s="185"/>
      <c r="AC139" s="187"/>
      <c r="AD139" s="187"/>
      <c r="AF139" s="182"/>
      <c r="AH139" s="15"/>
      <c r="AI139" s="17"/>
      <c r="AS139" s="15"/>
      <c r="AV139" s="15"/>
      <c r="AX139" s="15"/>
      <c r="AY139" s="15"/>
      <c r="BB139" s="15"/>
      <c r="BD139" s="15"/>
      <c r="BE139" s="15"/>
      <c r="BG139" s="15"/>
      <c r="BH139" s="15"/>
      <c r="BM139" s="15"/>
      <c r="BQ139" s="15"/>
      <c r="BR139" s="15"/>
      <c r="BT139" s="15"/>
      <c r="BU139" s="15"/>
      <c r="BW139" s="15"/>
      <c r="BX139" s="15"/>
      <c r="BZ139" s="15"/>
      <c r="CA139" s="15"/>
      <c r="CC139" s="15"/>
      <c r="CD139" s="15"/>
      <c r="CF139" s="15"/>
      <c r="CG139" s="15"/>
      <c r="CI139" s="15"/>
      <c r="CJ139" s="15"/>
      <c r="CM139" s="15"/>
      <c r="CP139" s="15"/>
      <c r="CS139" s="15"/>
      <c r="CV139" s="15"/>
      <c r="CY139" s="15"/>
      <c r="DE139" s="15"/>
      <c r="DF139" s="15"/>
      <c r="DH139" s="15"/>
      <c r="DI139" s="15"/>
      <c r="DK139" s="15"/>
      <c r="DL139" s="15"/>
      <c r="DN139" s="15"/>
      <c r="DO139" s="15"/>
      <c r="DQ139" s="15"/>
      <c r="DR139" s="15"/>
      <c r="DT139" s="15"/>
      <c r="DU139" s="15"/>
      <c r="DW139" s="15"/>
      <c r="DX139" s="15"/>
      <c r="DZ139" s="15"/>
      <c r="EA139" s="15"/>
      <c r="EC139" s="15"/>
      <c r="ED139" s="15"/>
      <c r="EF139" s="15"/>
      <c r="EG139" s="15"/>
      <c r="EK139" s="15"/>
      <c r="EM139" s="15"/>
      <c r="EN139" s="15"/>
      <c r="EP139" s="15"/>
      <c r="EQ139" s="15"/>
      <c r="ES139" s="15"/>
      <c r="ET139" s="15"/>
      <c r="EW139" s="15"/>
      <c r="EZ139" s="15"/>
      <c r="FC139" s="15"/>
      <c r="FF139" s="15"/>
      <c r="FI139" s="15"/>
      <c r="FL139" s="15"/>
      <c r="FO139" s="15"/>
      <c r="FR139" s="15"/>
      <c r="FZ139" s="15"/>
      <c r="GB139" s="15"/>
      <c r="GC139" s="15"/>
      <c r="GE139" s="15"/>
      <c r="GF139" s="15"/>
      <c r="GH139" s="15"/>
      <c r="GI139" s="15"/>
      <c r="GK139" s="15"/>
      <c r="GL139" s="15"/>
      <c r="GN139" s="15"/>
      <c r="GO139" s="15"/>
      <c r="GQ139" s="15"/>
      <c r="GR139" s="15"/>
      <c r="GT139" s="227">
        <v>9200</v>
      </c>
      <c r="GU139" s="15">
        <f t="shared" si="499"/>
        <v>9200</v>
      </c>
      <c r="GW139" s="15"/>
      <c r="GX139" s="15">
        <f t="shared" si="500"/>
        <v>9200</v>
      </c>
      <c r="GZ139" s="15"/>
      <c r="HA139" s="189">
        <f t="shared" si="501"/>
        <v>9200</v>
      </c>
      <c r="HC139" s="189">
        <v>0</v>
      </c>
    </row>
    <row r="140" spans="1:214" ht="15.75" customHeight="1" outlineLevel="1">
      <c r="A140" s="1" t="s">
        <v>173</v>
      </c>
      <c r="B140" s="1" t="s">
        <v>113</v>
      </c>
      <c r="C140" s="4" t="s">
        <v>114</v>
      </c>
      <c r="D140" s="43"/>
      <c r="E140" s="34"/>
      <c r="F140" s="43"/>
      <c r="G140" s="34"/>
      <c r="H140" s="46"/>
      <c r="I140" s="36"/>
      <c r="J140" s="14"/>
      <c r="M140" s="17"/>
      <c r="N140" s="17"/>
      <c r="U140" s="16"/>
      <c r="Y140" s="118"/>
      <c r="AA140" s="118">
        <v>9500</v>
      </c>
      <c r="AB140" s="185">
        <f t="shared" si="471"/>
        <v>9500</v>
      </c>
      <c r="AC140" s="187">
        <f t="shared" si="472"/>
        <v>9500</v>
      </c>
      <c r="AD140" s="187"/>
      <c r="AE140" s="118">
        <v>9500</v>
      </c>
      <c r="AF140" s="182"/>
      <c r="AH140" s="15">
        <v>0</v>
      </c>
      <c r="AI140" s="17">
        <f t="shared" si="463"/>
        <v>0</v>
      </c>
      <c r="AK140" s="118">
        <v>9500</v>
      </c>
      <c r="AS140" s="15">
        <f t="shared" si="473"/>
        <v>9500</v>
      </c>
      <c r="AU140" s="15">
        <v>33300</v>
      </c>
      <c r="AV140" s="15">
        <f t="shared" si="474"/>
        <v>42800</v>
      </c>
      <c r="AX140" s="15"/>
      <c r="AY140" s="15">
        <f t="shared" si="475"/>
        <v>42800</v>
      </c>
      <c r="BB140" s="15">
        <f t="shared" si="476"/>
        <v>42800</v>
      </c>
      <c r="BD140" s="15"/>
      <c r="BE140" s="15">
        <f t="shared" si="477"/>
        <v>42800</v>
      </c>
      <c r="BG140" s="15"/>
      <c r="BH140" s="15">
        <f t="shared" si="478"/>
        <v>42800</v>
      </c>
      <c r="BJ140" s="15">
        <v>42768.9</v>
      </c>
      <c r="BK140" s="235">
        <f t="shared" ref="BK140" si="502">BJ140/BH140</f>
        <v>0.99927336448598136</v>
      </c>
      <c r="BM140" s="15">
        <v>10000</v>
      </c>
      <c r="BN140" s="235">
        <f t="shared" ref="BN140" si="503">BM140/BJ140</f>
        <v>0.23381475791989037</v>
      </c>
      <c r="BO140" s="235">
        <f t="shared" ref="BO140" si="504">BM140/BH140</f>
        <v>0.23364485981308411</v>
      </c>
      <c r="BQ140" s="15"/>
      <c r="BR140" s="15">
        <f>BM140+BQ140</f>
        <v>10000</v>
      </c>
      <c r="BT140" s="15"/>
      <c r="BU140" s="15">
        <f>BR140+BT140</f>
        <v>10000</v>
      </c>
      <c r="BW140" s="15"/>
      <c r="BX140" s="15">
        <f>BU140+BW140</f>
        <v>10000</v>
      </c>
      <c r="BZ140" s="15"/>
      <c r="CA140" s="15">
        <f>BX140+BZ140</f>
        <v>10000</v>
      </c>
      <c r="CC140" s="15"/>
      <c r="CD140" s="15">
        <f>CA140+CC140</f>
        <v>10000</v>
      </c>
      <c r="CF140" s="15"/>
      <c r="CG140" s="15">
        <f>CD140+CF140</f>
        <v>10000</v>
      </c>
      <c r="CI140" s="15"/>
      <c r="CJ140" s="15">
        <f>CG140+CI140</f>
        <v>10000</v>
      </c>
      <c r="CM140" s="15">
        <f>CJ140+CL140</f>
        <v>10000</v>
      </c>
      <c r="CO140" s="15">
        <v>-5000</v>
      </c>
      <c r="CP140" s="15">
        <f>CM140+CO140</f>
        <v>5000</v>
      </c>
      <c r="CS140" s="15">
        <f>CP140+CR140</f>
        <v>5000</v>
      </c>
      <c r="CU140" s="227">
        <v>-5000</v>
      </c>
      <c r="CV140" s="15">
        <f>CS140+CU140</f>
        <v>0</v>
      </c>
      <c r="CX140" s="227"/>
      <c r="CY140" s="15">
        <f>CV140+CX140</f>
        <v>0</v>
      </c>
      <c r="DA140" s="15">
        <v>0</v>
      </c>
      <c r="DE140" s="15"/>
      <c r="DF140" s="15">
        <f t="shared" si="479"/>
        <v>0</v>
      </c>
      <c r="DH140" s="15"/>
      <c r="DI140" s="15">
        <f t="shared" si="480"/>
        <v>0</v>
      </c>
      <c r="DK140" s="15"/>
      <c r="DL140" s="15">
        <f t="shared" si="481"/>
        <v>0</v>
      </c>
      <c r="DN140" s="15"/>
      <c r="DO140" s="15">
        <f t="shared" si="482"/>
        <v>0</v>
      </c>
      <c r="DQ140" s="15"/>
      <c r="DR140" s="15">
        <f t="shared" si="483"/>
        <v>0</v>
      </c>
      <c r="DT140" s="15"/>
      <c r="DU140" s="15">
        <f t="shared" si="484"/>
        <v>0</v>
      </c>
      <c r="DW140" s="15"/>
      <c r="DX140" s="15">
        <f t="shared" si="485"/>
        <v>0</v>
      </c>
      <c r="DZ140" s="15"/>
      <c r="EA140" s="15">
        <f t="shared" si="486"/>
        <v>0</v>
      </c>
      <c r="EC140" s="15"/>
      <c r="ED140" s="15">
        <f t="shared" si="487"/>
        <v>0</v>
      </c>
      <c r="EF140" s="15"/>
      <c r="EG140" s="15">
        <f t="shared" si="488"/>
        <v>0</v>
      </c>
      <c r="EK140" s="15"/>
      <c r="EM140" s="15"/>
      <c r="EN140" s="15">
        <f t="shared" si="489"/>
        <v>0</v>
      </c>
      <c r="EP140" s="15"/>
      <c r="EQ140" s="15">
        <f t="shared" si="490"/>
        <v>0</v>
      </c>
      <c r="ES140" s="15"/>
      <c r="ET140" s="15">
        <f t="shared" si="491"/>
        <v>0</v>
      </c>
      <c r="EW140" s="15">
        <f t="shared" si="492"/>
        <v>0</v>
      </c>
      <c r="EZ140" s="15">
        <f t="shared" si="493"/>
        <v>0</v>
      </c>
      <c r="FC140" s="15">
        <f t="shared" si="494"/>
        <v>0</v>
      </c>
      <c r="FF140" s="15">
        <f t="shared" si="495"/>
        <v>0</v>
      </c>
      <c r="FI140" s="15">
        <f t="shared" si="496"/>
        <v>0</v>
      </c>
      <c r="FL140" s="15">
        <f t="shared" si="497"/>
        <v>0</v>
      </c>
      <c r="FO140" s="15">
        <f t="shared" si="498"/>
        <v>0</v>
      </c>
      <c r="FR140" s="15">
        <v>0</v>
      </c>
      <c r="FZ140" s="15">
        <f>FV140+FY140</f>
        <v>0</v>
      </c>
      <c r="GB140" s="15"/>
      <c r="GC140" s="15">
        <f>FZ140+GB140</f>
        <v>0</v>
      </c>
      <c r="GE140" s="15"/>
      <c r="GF140" s="15">
        <f>GC140+GE140</f>
        <v>0</v>
      </c>
      <c r="GH140" s="15"/>
      <c r="GI140" s="15">
        <f>GF140+GH140</f>
        <v>0</v>
      </c>
      <c r="GK140" s="15"/>
      <c r="GL140" s="15">
        <f>GI140+GK140</f>
        <v>0</v>
      </c>
      <c r="GN140" s="15"/>
      <c r="GO140" s="15">
        <f>GL140+GN140</f>
        <v>0</v>
      </c>
      <c r="GQ140" s="15"/>
      <c r="GR140" s="15">
        <f>GO140+GQ140</f>
        <v>0</v>
      </c>
      <c r="GT140" s="15"/>
      <c r="GU140" s="15">
        <f t="shared" si="499"/>
        <v>0</v>
      </c>
      <c r="GW140" s="15"/>
      <c r="GX140" s="15">
        <f t="shared" si="500"/>
        <v>0</v>
      </c>
      <c r="GZ140" s="227">
        <v>9500</v>
      </c>
      <c r="HA140" s="189">
        <f t="shared" si="501"/>
        <v>9500</v>
      </c>
      <c r="HC140" s="189">
        <v>9161</v>
      </c>
      <c r="HE140" s="15">
        <v>0</v>
      </c>
    </row>
    <row r="141" spans="1:214" outlineLevel="3">
      <c r="A141" s="1" t="s">
        <v>173</v>
      </c>
      <c r="B141" s="1" t="s">
        <v>146</v>
      </c>
      <c r="C141" s="4" t="s">
        <v>147</v>
      </c>
      <c r="D141" s="43">
        <v>50000</v>
      </c>
      <c r="E141" s="34">
        <v>0</v>
      </c>
      <c r="F141" s="43">
        <v>50000</v>
      </c>
      <c r="G141" s="34">
        <v>0</v>
      </c>
      <c r="H141" s="46">
        <v>0</v>
      </c>
      <c r="I141" s="36">
        <v>0</v>
      </c>
      <c r="J141" s="14"/>
      <c r="M141" s="17">
        <f t="shared" si="460"/>
        <v>-1</v>
      </c>
      <c r="N141" s="17" t="e">
        <f t="shared" si="461"/>
        <v>#DIV/0!</v>
      </c>
      <c r="Y141" s="118"/>
      <c r="AC141" s="187"/>
      <c r="AD141" s="187"/>
      <c r="AF141" s="182"/>
      <c r="AH141" s="15"/>
      <c r="AX141" s="15"/>
      <c r="BD141" s="15"/>
      <c r="BG141" s="15"/>
      <c r="CL141" s="15">
        <v>1000</v>
      </c>
      <c r="CM141" s="15">
        <f>CJ141+CL141</f>
        <v>1000</v>
      </c>
      <c r="CP141" s="15">
        <f>CM141+CO141</f>
        <v>1000</v>
      </c>
      <c r="CS141" s="15">
        <f>CP141+CR141</f>
        <v>1000</v>
      </c>
      <c r="CV141" s="15">
        <f>CS141+CU141</f>
        <v>1000</v>
      </c>
      <c r="CY141" s="15">
        <f>CV141+CX141</f>
        <v>1000</v>
      </c>
      <c r="DA141" s="15">
        <v>999</v>
      </c>
      <c r="DE141" s="15"/>
      <c r="DH141" s="15"/>
      <c r="DK141" s="15"/>
      <c r="DN141" s="15"/>
      <c r="DQ141" s="15"/>
      <c r="DT141" s="15"/>
      <c r="DW141" s="15"/>
      <c r="DZ141" s="15"/>
      <c r="EC141" s="15"/>
      <c r="EF141" s="15"/>
      <c r="EK141" s="15"/>
      <c r="EM141" s="15"/>
      <c r="EP141" s="15"/>
      <c r="ES141" s="15"/>
      <c r="GB141" s="15"/>
      <c r="GE141" s="15"/>
      <c r="GH141" s="15"/>
      <c r="GK141" s="15"/>
      <c r="GN141" s="15"/>
      <c r="GQ141" s="15"/>
      <c r="GT141" s="15"/>
      <c r="GU141" s="15">
        <f t="shared" si="499"/>
        <v>0</v>
      </c>
      <c r="GW141" s="15"/>
      <c r="GX141" s="15">
        <f t="shared" si="500"/>
        <v>0</v>
      </c>
      <c r="GZ141" s="15"/>
      <c r="HA141" s="189">
        <f t="shared" si="501"/>
        <v>0</v>
      </c>
    </row>
    <row r="142" spans="1:214" outlineLevel="2">
      <c r="A142" s="1" t="s">
        <v>173</v>
      </c>
      <c r="B142" s="1" t="s">
        <v>115</v>
      </c>
      <c r="C142" s="4" t="s">
        <v>116</v>
      </c>
      <c r="D142" s="43">
        <v>7000</v>
      </c>
      <c r="E142" s="34">
        <v>0</v>
      </c>
      <c r="F142" s="43">
        <v>7000</v>
      </c>
      <c r="G142" s="34">
        <v>0</v>
      </c>
      <c r="H142" s="46">
        <v>0</v>
      </c>
      <c r="I142" s="36">
        <v>0</v>
      </c>
      <c r="J142" s="14"/>
      <c r="M142" s="17">
        <f t="shared" si="460"/>
        <v>-1</v>
      </c>
      <c r="N142" s="17" t="e">
        <f t="shared" si="461"/>
        <v>#DIV/0!</v>
      </c>
      <c r="Y142" s="118"/>
      <c r="AC142" s="187"/>
      <c r="AD142" s="187"/>
      <c r="AF142" s="182"/>
      <c r="AH142" s="15"/>
      <c r="AX142" s="15"/>
      <c r="BD142" s="15">
        <v>75000</v>
      </c>
      <c r="BE142" s="15">
        <f t="shared" ref="BE142:BE143" si="505">BB142+BD142</f>
        <v>75000</v>
      </c>
      <c r="BG142" s="15"/>
      <c r="BH142" s="15">
        <f t="shared" ref="BH142:BH143" si="506">BE142+BG142</f>
        <v>75000</v>
      </c>
      <c r="BJ142" s="15">
        <v>72600</v>
      </c>
      <c r="BK142" s="235">
        <f t="shared" ref="BK142:BK143" si="507">BJ142/BH142</f>
        <v>0.96799999999999997</v>
      </c>
      <c r="BM142" s="15">
        <v>20000</v>
      </c>
      <c r="BN142" s="235">
        <f t="shared" ref="BN142:BN143" si="508">BM142/BJ142</f>
        <v>0.27548209366391185</v>
      </c>
      <c r="BO142" s="235">
        <f t="shared" ref="BO142:BO143" si="509">BM142/BH142</f>
        <v>0.26666666666666666</v>
      </c>
      <c r="BQ142" s="15"/>
      <c r="BR142" s="15">
        <f t="shared" ref="BR142:BR144" si="510">BM142+BQ142</f>
        <v>20000</v>
      </c>
      <c r="BT142" s="15"/>
      <c r="BU142" s="15">
        <f>BR142+BT142</f>
        <v>20000</v>
      </c>
      <c r="BW142" s="15"/>
      <c r="BX142" s="15">
        <f>BU142+BW142</f>
        <v>20000</v>
      </c>
      <c r="BZ142" s="15"/>
      <c r="CA142" s="15">
        <f>BX142+BZ142</f>
        <v>20000</v>
      </c>
      <c r="CC142" s="15"/>
      <c r="CD142" s="15">
        <f>CA142+CC142</f>
        <v>20000</v>
      </c>
      <c r="CF142" s="15"/>
      <c r="CG142" s="15">
        <f>CD142+CF142</f>
        <v>20000</v>
      </c>
      <c r="CI142" s="15"/>
      <c r="CJ142" s="15">
        <f>CG142+CI142</f>
        <v>20000</v>
      </c>
      <c r="CM142" s="15">
        <f>CJ142+CL142</f>
        <v>20000</v>
      </c>
      <c r="CO142" s="15">
        <v>-20000</v>
      </c>
      <c r="CP142" s="15">
        <f>CM142+CO142</f>
        <v>0</v>
      </c>
      <c r="CS142" s="15">
        <f>CP142+CR142</f>
        <v>0</v>
      </c>
      <c r="CV142" s="15">
        <f>CS142+CU142</f>
        <v>0</v>
      </c>
      <c r="CY142" s="15">
        <f>CV142+CX142</f>
        <v>0</v>
      </c>
      <c r="DC142" s="15">
        <f>(66000+8000+18000+12000+0.02*DC144)*1.21+160</f>
        <v>126000</v>
      </c>
      <c r="DE142" s="15"/>
      <c r="DF142" s="15">
        <f t="shared" ref="DF142:DF143" si="511">DC142+DE142</f>
        <v>126000</v>
      </c>
      <c r="DH142" s="15"/>
      <c r="DI142" s="15">
        <f t="shared" ref="DI142:DI143" si="512">DF142+DH142</f>
        <v>126000</v>
      </c>
      <c r="DK142" s="15"/>
      <c r="DL142" s="15">
        <f t="shared" ref="DL142:DL143" si="513">DI142+DK142</f>
        <v>126000</v>
      </c>
      <c r="DN142" s="15"/>
      <c r="DO142" s="15">
        <f t="shared" ref="DO142:DO143" si="514">DL142+DN142</f>
        <v>126000</v>
      </c>
      <c r="DQ142" s="15"/>
      <c r="DR142" s="15">
        <f t="shared" ref="DR142:DR143" si="515">DO142+DQ142</f>
        <v>126000</v>
      </c>
      <c r="DT142" s="15"/>
      <c r="DU142" s="15">
        <f t="shared" ref="DU142:DU143" si="516">DR142+DT142</f>
        <v>126000</v>
      </c>
      <c r="DW142" s="15"/>
      <c r="DX142" s="15">
        <f t="shared" ref="DX142:DX143" si="517">DU142+DW142</f>
        <v>126000</v>
      </c>
      <c r="DZ142" s="15"/>
      <c r="EA142" s="15">
        <f t="shared" ref="EA142:EA143" si="518">DX142+DZ142</f>
        <v>126000</v>
      </c>
      <c r="EC142" s="227">
        <v>-24000</v>
      </c>
      <c r="ED142" s="15">
        <f t="shared" ref="ED142:ED143" si="519">EA142+EC142</f>
        <v>102000</v>
      </c>
      <c r="EF142" s="15"/>
      <c r="EG142" s="15">
        <f t="shared" ref="EG142:EG143" si="520">ED142+EF142</f>
        <v>102000</v>
      </c>
      <c r="EI142" s="15">
        <v>101640</v>
      </c>
      <c r="EK142" s="15"/>
      <c r="EM142" s="15"/>
      <c r="EN142" s="15">
        <f t="shared" ref="EN142:EN143" si="521">EK142+EM142</f>
        <v>0</v>
      </c>
      <c r="EP142" s="15"/>
      <c r="EQ142" s="15">
        <f t="shared" ref="EQ142:EQ143" si="522">EN142+EP142</f>
        <v>0</v>
      </c>
      <c r="ES142" s="15"/>
      <c r="ET142" s="15">
        <f t="shared" ref="ET142:ET143" si="523">EQ142+ES142</f>
        <v>0</v>
      </c>
      <c r="EW142" s="15">
        <f t="shared" ref="EW142:EW143" si="524">ET142+EV142</f>
        <v>0</v>
      </c>
      <c r="EZ142" s="15">
        <f t="shared" ref="EZ142:EZ143" si="525">EW142+EY142</f>
        <v>0</v>
      </c>
      <c r="FC142" s="15">
        <f t="shared" ref="FC142:FC143" si="526">EZ142+FB142</f>
        <v>0</v>
      </c>
      <c r="FF142" s="15">
        <f t="shared" ref="FF142:FF143" si="527">FC142+FE142</f>
        <v>0</v>
      </c>
      <c r="FI142" s="15">
        <f t="shared" ref="FI142:FI143" si="528">FF142+FH142</f>
        <v>0</v>
      </c>
      <c r="FL142" s="15">
        <f t="shared" ref="FL142:FL143" si="529">FI142+FK142</f>
        <v>0</v>
      </c>
      <c r="FO142" s="15">
        <f t="shared" ref="FO142:FO143" si="530">FL142+FN142</f>
        <v>0</v>
      </c>
      <c r="FR142" s="15">
        <v>0</v>
      </c>
      <c r="FZ142" s="15">
        <f>FV142+FY142</f>
        <v>0</v>
      </c>
      <c r="GB142" s="15"/>
      <c r="GC142" s="15">
        <f>FZ142+GB142</f>
        <v>0</v>
      </c>
      <c r="GE142" s="15"/>
      <c r="GF142" s="15">
        <f>GC142+GE142</f>
        <v>0</v>
      </c>
      <c r="GH142" s="15"/>
      <c r="GI142" s="15">
        <f>GF142+GH142</f>
        <v>0</v>
      </c>
      <c r="GK142" s="15"/>
      <c r="GL142" s="15">
        <f>GI142+GK142</f>
        <v>0</v>
      </c>
      <c r="GN142" s="15"/>
      <c r="GO142" s="15">
        <f>GL142+GN142</f>
        <v>0</v>
      </c>
      <c r="GQ142" s="15"/>
      <c r="GR142" s="15">
        <f>GO142+GQ142</f>
        <v>0</v>
      </c>
      <c r="GT142" s="15"/>
      <c r="GU142" s="15">
        <f t="shared" si="499"/>
        <v>0</v>
      </c>
      <c r="GW142" s="15"/>
      <c r="GX142" s="15">
        <f t="shared" si="500"/>
        <v>0</v>
      </c>
      <c r="GZ142" s="15"/>
      <c r="HA142" s="189">
        <f t="shared" si="501"/>
        <v>0</v>
      </c>
    </row>
    <row r="143" spans="1:214" outlineLevel="2">
      <c r="A143" s="1" t="s">
        <v>173</v>
      </c>
      <c r="B143" s="1" t="s">
        <v>117</v>
      </c>
      <c r="C143" s="4" t="s">
        <v>118</v>
      </c>
      <c r="D143" s="43">
        <v>398000</v>
      </c>
      <c r="E143" s="34">
        <v>2.4500000000000002</v>
      </c>
      <c r="F143" s="43">
        <v>398000</v>
      </c>
      <c r="G143" s="34">
        <v>2.4500000000000002</v>
      </c>
      <c r="H143" s="46">
        <v>9765</v>
      </c>
      <c r="I143" s="36">
        <v>9765</v>
      </c>
      <c r="J143" s="14"/>
      <c r="L143" s="118">
        <f>'[2]2020'!$Q$23+'[2]2020'!$Q$41+'[2]2020'!$Q$42</f>
        <v>330000</v>
      </c>
      <c r="M143" s="17">
        <f t="shared" si="460"/>
        <v>-0.17085427135678388</v>
      </c>
      <c r="N143" s="17">
        <f t="shared" si="461"/>
        <v>32.794162826420894</v>
      </c>
      <c r="Q143" s="118">
        <v>674000</v>
      </c>
      <c r="R143" s="15">
        <v>550715</v>
      </c>
      <c r="S143" s="158">
        <v>740000</v>
      </c>
      <c r="T143" s="15">
        <f>S143-Q143</f>
        <v>66000</v>
      </c>
      <c r="U143" s="16">
        <f>S143/Q143-1</f>
        <v>9.7922848664688367E-2</v>
      </c>
      <c r="V143" s="140">
        <v>310000</v>
      </c>
      <c r="X143">
        <v>-20000</v>
      </c>
      <c r="Y143" s="118">
        <v>740000</v>
      </c>
      <c r="AA143" s="118">
        <v>740000</v>
      </c>
      <c r="AB143" s="185">
        <f t="shared" ref="AB143:AB144" si="531">AA143-Y143</f>
        <v>0</v>
      </c>
      <c r="AC143" s="187">
        <f t="shared" si="472"/>
        <v>0</v>
      </c>
      <c r="AD143" s="187"/>
      <c r="AE143" s="118">
        <v>740000</v>
      </c>
      <c r="AF143" s="182"/>
      <c r="AH143" s="15">
        <v>716318.59</v>
      </c>
      <c r="AI143" s="17">
        <f t="shared" ref="AI143:AI144" si="532">AH143/AE143</f>
        <v>0.96799809459459452</v>
      </c>
      <c r="AK143" s="183">
        <f>(28000+30000)*1.21+35000+320+4500</f>
        <v>110000</v>
      </c>
      <c r="AS143" s="15">
        <f t="shared" ref="AS143:AS144" si="533">AR143+AK143</f>
        <v>110000</v>
      </c>
      <c r="AV143" s="15">
        <f t="shared" ref="AV143" si="534">AS143+AU143</f>
        <v>110000</v>
      </c>
      <c r="AX143" s="15"/>
      <c r="AY143" s="15">
        <f t="shared" ref="AY143" si="535">AV143+AX143</f>
        <v>110000</v>
      </c>
      <c r="BB143" s="15">
        <f t="shared" ref="BB143" si="536">AY143+BA143</f>
        <v>110000</v>
      </c>
      <c r="BD143" s="15">
        <v>-20000</v>
      </c>
      <c r="BE143" s="15">
        <f t="shared" si="505"/>
        <v>90000</v>
      </c>
      <c r="BG143" s="15">
        <v>-1500</v>
      </c>
      <c r="BH143" s="15">
        <f t="shared" si="506"/>
        <v>88500</v>
      </c>
      <c r="BJ143" s="15">
        <v>84700</v>
      </c>
      <c r="BK143" s="235">
        <f t="shared" si="507"/>
        <v>0.95706214689265534</v>
      </c>
      <c r="BM143" s="290">
        <v>1720000</v>
      </c>
      <c r="BN143" s="235">
        <f t="shared" si="508"/>
        <v>20.306965761511215</v>
      </c>
      <c r="BO143" s="235">
        <f t="shared" si="509"/>
        <v>19.435028248587571</v>
      </c>
      <c r="BQ143" s="15"/>
      <c r="BR143" s="15">
        <f t="shared" si="510"/>
        <v>1720000</v>
      </c>
      <c r="BT143" s="15"/>
      <c r="BU143" s="15">
        <f>BR143+BT143</f>
        <v>1720000</v>
      </c>
      <c r="BW143" s="15">
        <v>220000</v>
      </c>
      <c r="BX143" s="15">
        <f>BU143+BW143</f>
        <v>1940000</v>
      </c>
      <c r="BZ143" s="15"/>
      <c r="CA143" s="15">
        <f>BX143+BZ143</f>
        <v>1940000</v>
      </c>
      <c r="CC143" s="15"/>
      <c r="CD143" s="15">
        <f>CA143+CC143</f>
        <v>1940000</v>
      </c>
      <c r="CF143" s="15"/>
      <c r="CG143" s="15">
        <f>CD143+CF143</f>
        <v>1940000</v>
      </c>
      <c r="CH143">
        <v>32338.48</v>
      </c>
      <c r="CI143" s="227">
        <v>33000</v>
      </c>
      <c r="CJ143" s="15">
        <f>CG143+CI143</f>
        <v>1973000</v>
      </c>
      <c r="CM143" s="15">
        <f>CJ143+CL143</f>
        <v>1973000</v>
      </c>
      <c r="CP143" s="15">
        <f>CM143+CO143</f>
        <v>1973000</v>
      </c>
      <c r="CS143" s="15">
        <f>CP143+CR143</f>
        <v>1973000</v>
      </c>
      <c r="CU143" s="227">
        <v>8000</v>
      </c>
      <c r="CV143" s="15">
        <f>CS143+CU143</f>
        <v>1981000</v>
      </c>
      <c r="CX143" s="227"/>
      <c r="CY143" s="15">
        <f>CV143+CX143</f>
        <v>1981000</v>
      </c>
      <c r="DA143" s="15">
        <v>1980397.69</v>
      </c>
      <c r="DE143" s="15"/>
      <c r="DF143" s="15">
        <f t="shared" si="511"/>
        <v>0</v>
      </c>
      <c r="DH143" s="15"/>
      <c r="DI143" s="15">
        <f t="shared" si="512"/>
        <v>0</v>
      </c>
      <c r="DK143" s="15"/>
      <c r="DL143" s="15">
        <f t="shared" si="513"/>
        <v>0</v>
      </c>
      <c r="DN143" s="15"/>
      <c r="DO143" s="15">
        <f t="shared" si="514"/>
        <v>0</v>
      </c>
      <c r="DQ143" s="15"/>
      <c r="DR143" s="15">
        <f t="shared" si="515"/>
        <v>0</v>
      </c>
      <c r="DT143" s="15"/>
      <c r="DU143" s="15">
        <f t="shared" si="516"/>
        <v>0</v>
      </c>
      <c r="DW143" s="15"/>
      <c r="DX143" s="15">
        <f t="shared" si="517"/>
        <v>0</v>
      </c>
      <c r="DZ143" s="15"/>
      <c r="EA143" s="15">
        <f t="shared" si="518"/>
        <v>0</v>
      </c>
      <c r="EC143" s="15"/>
      <c r="ED143" s="15">
        <f t="shared" si="519"/>
        <v>0</v>
      </c>
      <c r="EF143" s="15"/>
      <c r="EG143" s="15">
        <f t="shared" si="520"/>
        <v>0</v>
      </c>
      <c r="EK143" s="15">
        <v>10000</v>
      </c>
      <c r="EM143" s="15"/>
      <c r="EN143" s="15">
        <f t="shared" si="521"/>
        <v>10000</v>
      </c>
      <c r="EP143" s="15"/>
      <c r="EQ143" s="15">
        <f t="shared" si="522"/>
        <v>10000</v>
      </c>
      <c r="ES143" s="15"/>
      <c r="ET143" s="15">
        <f t="shared" si="523"/>
        <v>10000</v>
      </c>
      <c r="EW143" s="15">
        <f t="shared" si="524"/>
        <v>10000</v>
      </c>
      <c r="EZ143" s="15">
        <f t="shared" si="525"/>
        <v>10000</v>
      </c>
      <c r="FC143" s="15">
        <f t="shared" si="526"/>
        <v>10000</v>
      </c>
      <c r="FF143" s="15">
        <f t="shared" si="527"/>
        <v>10000</v>
      </c>
      <c r="FI143" s="15">
        <f t="shared" si="528"/>
        <v>10000</v>
      </c>
      <c r="FL143" s="15">
        <f t="shared" si="529"/>
        <v>10000</v>
      </c>
      <c r="FO143" s="15">
        <f t="shared" si="530"/>
        <v>10000</v>
      </c>
      <c r="FR143" s="15">
        <v>10000</v>
      </c>
      <c r="FT143" s="15">
        <v>0</v>
      </c>
      <c r="FV143" s="227">
        <v>50000</v>
      </c>
      <c r="FW143" s="235" t="e">
        <f t="shared" ref="FW143" si="537">FV143/FT143</f>
        <v>#DIV/0!</v>
      </c>
      <c r="FZ143" s="15">
        <f>FV143+FY143</f>
        <v>50000</v>
      </c>
      <c r="GB143" s="15"/>
      <c r="GC143" s="15">
        <f>FZ143+GB143</f>
        <v>50000</v>
      </c>
      <c r="GE143" s="15"/>
      <c r="GF143" s="15">
        <f>GC143+GE143</f>
        <v>50000</v>
      </c>
      <c r="GH143" s="15"/>
      <c r="GI143" s="15">
        <f>GF143+GH143</f>
        <v>50000</v>
      </c>
      <c r="GK143" s="15"/>
      <c r="GL143" s="15">
        <f>GI143+GK143</f>
        <v>50000</v>
      </c>
      <c r="GN143" s="15"/>
      <c r="GO143" s="15">
        <f>GL143+GN143</f>
        <v>50000</v>
      </c>
      <c r="GQ143" s="227">
        <v>-30000</v>
      </c>
      <c r="GR143" s="15">
        <f>GO143+GQ143</f>
        <v>20000</v>
      </c>
      <c r="GT143" s="15"/>
      <c r="GU143" s="15">
        <f t="shared" si="499"/>
        <v>20000</v>
      </c>
      <c r="GW143" s="227">
        <v>-10000</v>
      </c>
      <c r="GX143" s="15">
        <f t="shared" si="500"/>
        <v>10000</v>
      </c>
      <c r="GZ143" s="227">
        <v>-10000</v>
      </c>
      <c r="HA143" s="189">
        <f t="shared" si="501"/>
        <v>0</v>
      </c>
      <c r="HE143" s="15">
        <v>5000</v>
      </c>
      <c r="HF143" s="235" t="e">
        <f>HE143/HC143</f>
        <v>#DIV/0!</v>
      </c>
    </row>
    <row r="144" spans="1:214" outlineLevel="2">
      <c r="A144" s="1" t="s">
        <v>173</v>
      </c>
      <c r="B144" s="1" t="s">
        <v>208</v>
      </c>
      <c r="C144" s="4" t="s">
        <v>327</v>
      </c>
      <c r="D144" s="43"/>
      <c r="E144" s="34"/>
      <c r="F144" s="43"/>
      <c r="G144" s="34"/>
      <c r="H144" s="46"/>
      <c r="I144" s="36"/>
      <c r="J144" s="14"/>
      <c r="L144" s="118">
        <f>'[2]2020'!$Q$13+'[2]2020'!$Q$14</f>
        <v>500000</v>
      </c>
      <c r="M144" s="17" t="e">
        <f t="shared" si="460"/>
        <v>#DIV/0!</v>
      </c>
      <c r="N144" s="17" t="e">
        <f t="shared" si="461"/>
        <v>#DIV/0!</v>
      </c>
      <c r="Q144" s="118">
        <v>177000</v>
      </c>
      <c r="R144" s="15">
        <v>175690</v>
      </c>
      <c r="S144" s="118">
        <v>201000</v>
      </c>
      <c r="T144" s="15">
        <f>S144-Q144</f>
        <v>24000</v>
      </c>
      <c r="U144" s="16">
        <f>S144/Q144-1</f>
        <v>0.13559322033898313</v>
      </c>
      <c r="V144" s="140">
        <v>477000</v>
      </c>
      <c r="W144">
        <v>-23000</v>
      </c>
      <c r="Y144" s="118">
        <v>201000</v>
      </c>
      <c r="AA144" s="118">
        <v>218000</v>
      </c>
      <c r="AB144" s="185">
        <f t="shared" si="531"/>
        <v>17000</v>
      </c>
      <c r="AC144" s="187">
        <f t="shared" si="472"/>
        <v>17000</v>
      </c>
      <c r="AD144" s="187"/>
      <c r="AE144" s="118">
        <v>218000</v>
      </c>
      <c r="AF144" s="182"/>
      <c r="AH144" s="15">
        <v>216547.72</v>
      </c>
      <c r="AI144" s="17">
        <f t="shared" si="532"/>
        <v>0.99333816513761464</v>
      </c>
      <c r="AK144" s="183">
        <v>0</v>
      </c>
      <c r="AS144" s="15">
        <f t="shared" si="533"/>
        <v>0</v>
      </c>
      <c r="AX144" s="15"/>
      <c r="BD144" s="15"/>
      <c r="BG144" s="15"/>
      <c r="BM144" s="290">
        <v>315000</v>
      </c>
      <c r="BQ144" s="15"/>
      <c r="BR144" s="15">
        <f t="shared" si="510"/>
        <v>315000</v>
      </c>
      <c r="BT144" s="15"/>
      <c r="BU144" s="15">
        <f>BR144+BT144</f>
        <v>315000</v>
      </c>
      <c r="BW144" s="15"/>
      <c r="BX144" s="15">
        <f>BU144+BW144</f>
        <v>315000</v>
      </c>
      <c r="BZ144" s="15"/>
      <c r="CA144" s="15">
        <f>BX144+BZ144</f>
        <v>315000</v>
      </c>
      <c r="CC144" s="15"/>
      <c r="CD144" s="15">
        <f>CA144+CC144</f>
        <v>315000</v>
      </c>
      <c r="CF144" s="15"/>
      <c r="CG144" s="15">
        <f>CD144+CF144</f>
        <v>315000</v>
      </c>
      <c r="CI144" s="15"/>
      <c r="CJ144" s="15">
        <f>CG144+CI144</f>
        <v>315000</v>
      </c>
      <c r="CL144" s="15">
        <v>48300</v>
      </c>
      <c r="CM144" s="15">
        <f>CJ144+CL144</f>
        <v>363300</v>
      </c>
      <c r="CN144">
        <v>48300</v>
      </c>
      <c r="CP144" s="15">
        <f>CM144+CO144</f>
        <v>363300</v>
      </c>
      <c r="CS144" s="15">
        <f>CP144+CR144</f>
        <v>363300</v>
      </c>
      <c r="CU144" s="227">
        <v>21500</v>
      </c>
      <c r="CV144" s="15">
        <f>CS144+CU144</f>
        <v>384800</v>
      </c>
      <c r="CX144" s="227"/>
      <c r="CY144" s="15">
        <f>CV144+CX144</f>
        <v>384800</v>
      </c>
      <c r="DA144" s="15">
        <v>384506</v>
      </c>
      <c r="DD144" s="15">
        <v>1800000</v>
      </c>
      <c r="DE144" s="15"/>
      <c r="DH144" s="15"/>
      <c r="DK144" s="15"/>
      <c r="DN144" s="15"/>
      <c r="DQ144" s="15"/>
      <c r="DT144" s="15"/>
      <c r="DW144" s="15"/>
      <c r="DZ144" s="15"/>
      <c r="EC144" s="15"/>
      <c r="EF144" s="15"/>
      <c r="EK144" s="15"/>
      <c r="EM144" s="15"/>
      <c r="EP144" s="15"/>
      <c r="ES144" s="15"/>
      <c r="GB144" s="15"/>
      <c r="GE144" s="15"/>
      <c r="GH144" s="15"/>
      <c r="GK144" s="15"/>
      <c r="GN144" s="15"/>
      <c r="GQ144" s="15"/>
      <c r="GT144" s="15"/>
      <c r="GW144" s="227">
        <v>26000</v>
      </c>
      <c r="GX144" s="15">
        <f t="shared" si="500"/>
        <v>26000</v>
      </c>
      <c r="GZ144" s="15"/>
      <c r="HA144" s="189">
        <f t="shared" si="501"/>
        <v>26000</v>
      </c>
      <c r="HC144" s="189">
        <v>25518</v>
      </c>
      <c r="HE144" s="15">
        <v>0</v>
      </c>
    </row>
    <row r="145" spans="1:214" outlineLevel="2">
      <c r="A145" s="1" t="s">
        <v>173</v>
      </c>
      <c r="B145" s="4" t="s">
        <v>46</v>
      </c>
      <c r="C145" s="4" t="s">
        <v>174</v>
      </c>
      <c r="D145" s="43">
        <v>455000</v>
      </c>
      <c r="E145" s="34">
        <v>2.15</v>
      </c>
      <c r="F145" s="43">
        <v>455000</v>
      </c>
      <c r="G145" s="34">
        <v>2.15</v>
      </c>
      <c r="H145" s="46">
        <v>9765</v>
      </c>
      <c r="I145" s="36"/>
      <c r="J145" s="14"/>
      <c r="Y145" s="118"/>
      <c r="AF145" s="182"/>
      <c r="AH145" s="15"/>
      <c r="AX145" s="15"/>
      <c r="BD145" s="15"/>
      <c r="BG145" s="15"/>
      <c r="DE145" s="15"/>
      <c r="DH145" s="15"/>
      <c r="DK145" s="15"/>
      <c r="DN145" s="15"/>
      <c r="DQ145" s="15"/>
      <c r="DT145" s="15"/>
      <c r="DW145" s="15"/>
      <c r="DZ145" s="15"/>
      <c r="EC145" s="15"/>
      <c r="EF145" s="15"/>
      <c r="EK145" s="15"/>
      <c r="EM145" s="15"/>
      <c r="EP145" s="15"/>
      <c r="ES145" s="15"/>
      <c r="GB145" s="15"/>
      <c r="GE145" s="15"/>
      <c r="GH145" s="15"/>
      <c r="GK145" s="15"/>
      <c r="GN145" s="15"/>
      <c r="GQ145" s="15"/>
      <c r="GT145" s="15"/>
      <c r="GW145" s="15"/>
      <c r="GZ145" s="15"/>
    </row>
    <row r="146" spans="1:214" ht="17.25" customHeight="1" thickBot="1">
      <c r="A146" s="54" t="s">
        <v>173</v>
      </c>
      <c r="B146" s="55" t="s">
        <v>316</v>
      </c>
      <c r="C146" s="283" t="s">
        <v>336</v>
      </c>
      <c r="D146" s="57">
        <f>SUM(D141:D143)</f>
        <v>455000</v>
      </c>
      <c r="E146" s="58"/>
      <c r="F146" s="57">
        <f>SUM(F141:F143)</f>
        <v>455000</v>
      </c>
      <c r="G146" s="58"/>
      <c r="H146" s="57"/>
      <c r="I146" s="57">
        <f>SUM(I141:I143)</f>
        <v>9765</v>
      </c>
      <c r="J146" s="138" t="e">
        <f>I146/$I$350</f>
        <v>#REF!</v>
      </c>
      <c r="K146" s="60"/>
      <c r="L146" s="122">
        <f>SUM(L138:L143)</f>
        <v>330000</v>
      </c>
      <c r="M146" s="61">
        <f t="shared" ref="M146:M153" si="538">L146/F146-1</f>
        <v>-0.27472527472527475</v>
      </c>
      <c r="N146" s="61">
        <f t="shared" ref="N146:N153" si="539">L146/I146-1</f>
        <v>32.794162826420894</v>
      </c>
      <c r="O146" s="17">
        <f>L146/$L$350</f>
        <v>7.6566126711204205E-2</v>
      </c>
      <c r="P146" s="17"/>
      <c r="Q146" s="122">
        <f>SUM(Q138:Q143)</f>
        <v>683500</v>
      </c>
      <c r="R146" s="122">
        <f>SUM(R138:R143)</f>
        <v>550715</v>
      </c>
      <c r="S146" s="122">
        <f>SUM(S138:S143)</f>
        <v>749500</v>
      </c>
      <c r="T146" s="122">
        <f>SUM(T138:T143)</f>
        <v>66000</v>
      </c>
      <c r="U146" s="155">
        <f t="shared" ref="U146:U153" si="540">S146/Q146-1</f>
        <v>9.6561814191660655E-2</v>
      </c>
      <c r="Y146" s="122">
        <f>SUM(Y138:Y143)</f>
        <v>749500</v>
      </c>
      <c r="AA146" s="122">
        <f>SUM(AA138:AA143)</f>
        <v>759000</v>
      </c>
      <c r="AB146" s="122">
        <f>SUM(AB138:AB143)</f>
        <v>9500</v>
      </c>
      <c r="AE146" s="122">
        <f>SUM(AE138:AE143)</f>
        <v>759000</v>
      </c>
      <c r="AF146" s="182"/>
      <c r="AH146" s="122">
        <f>SUM(AH138:AH143)</f>
        <v>725818.59</v>
      </c>
      <c r="AI146" s="17">
        <f t="shared" ref="AI146:AI149" si="541">AH146/AE146</f>
        <v>0.95628272727272723</v>
      </c>
      <c r="AK146" s="122">
        <f>SUM(AK138:AK143)</f>
        <v>119500</v>
      </c>
      <c r="AL146" s="193">
        <f t="shared" ref="AL146:AL148" si="542">AK146/L146</f>
        <v>0.36212121212121212</v>
      </c>
      <c r="AM146" s="17">
        <f t="shared" ref="AM146:AM148" si="543">AK146/AE146</f>
        <v>0.15744400527009222</v>
      </c>
      <c r="AN146" s="17">
        <f t="shared" ref="AN146:AN148" si="544">AK146/AH146</f>
        <v>0.16464169097680456</v>
      </c>
      <c r="AS146" s="122">
        <f>SUM(AS138:AS143)</f>
        <v>119500</v>
      </c>
      <c r="AU146" s="122">
        <f>SUM(AU138:AU143)</f>
        <v>33300</v>
      </c>
      <c r="AV146" s="122">
        <f>SUM(AV138:AV143)</f>
        <v>152800</v>
      </c>
      <c r="AX146" s="122">
        <f>SUM(AX138:AX143)</f>
        <v>0</v>
      </c>
      <c r="AY146" s="122">
        <f>SUM(AY138:AY143)</f>
        <v>152800</v>
      </c>
      <c r="BA146" s="122">
        <f>SUM(BA138:BA143)</f>
        <v>0</v>
      </c>
      <c r="BB146" s="122">
        <f>SUM(BB138:BB143)</f>
        <v>152800</v>
      </c>
      <c r="BD146" s="122">
        <f>SUM(BD138:BD143)</f>
        <v>55000</v>
      </c>
      <c r="BE146" s="122">
        <f>SUM(BE138:BE143)</f>
        <v>207800</v>
      </c>
      <c r="BG146" s="122">
        <f>SUM(BG138:BG143)</f>
        <v>-1500</v>
      </c>
      <c r="BH146" s="122">
        <f>SUM(BH138:BH143)</f>
        <v>206300</v>
      </c>
      <c r="BJ146" s="122">
        <f>SUM(BJ138:BJ143)</f>
        <v>200068.9</v>
      </c>
      <c r="BK146" s="236">
        <f t="shared" ref="BK146:BK148" si="545">BJ146/BH146</f>
        <v>0.96979592825981575</v>
      </c>
      <c r="BM146" s="122">
        <f>SUM(BM138:BM143)</f>
        <v>1750000</v>
      </c>
      <c r="BN146" s="236">
        <f t="shared" ref="BN146:BN148" si="546">BM146/BJ146</f>
        <v>8.7469866630945639</v>
      </c>
      <c r="BO146" s="236">
        <f t="shared" ref="BO146:BO148" si="547">BM146/BH146</f>
        <v>8.4827920504120211</v>
      </c>
      <c r="BQ146" s="122">
        <f>SUM(BQ138:BQ143)</f>
        <v>0</v>
      </c>
      <c r="BR146" s="122">
        <f>SUM(BR138:BR143)</f>
        <v>1750000</v>
      </c>
      <c r="BT146" s="122">
        <f>SUM(BT138:BT143)</f>
        <v>0</v>
      </c>
      <c r="BU146" s="122">
        <f>SUM(BU138:BU143)</f>
        <v>1750000</v>
      </c>
      <c r="BW146" s="122">
        <f>SUM(BW138:BW143)</f>
        <v>220000</v>
      </c>
      <c r="BX146" s="122">
        <f>SUM(BX138:BX143)</f>
        <v>1970000</v>
      </c>
      <c r="BZ146" s="122">
        <f>SUM(BZ138:BZ143)</f>
        <v>0</v>
      </c>
      <c r="CA146" s="122">
        <f>SUM(CA138:CA143)</f>
        <v>1970000</v>
      </c>
      <c r="CC146" s="122">
        <f>SUM(CC138:CC143)</f>
        <v>0</v>
      </c>
      <c r="CD146" s="122">
        <f>SUM(CD138:CD143)</f>
        <v>1970000</v>
      </c>
      <c r="CF146" s="122">
        <f>SUM(CF138:CF143)</f>
        <v>0</v>
      </c>
      <c r="CG146" s="122">
        <f>SUM(CG138:CG143)</f>
        <v>1970000</v>
      </c>
      <c r="CI146" s="122">
        <f>SUM(CI138:CI143)</f>
        <v>33000</v>
      </c>
      <c r="CJ146" s="122">
        <f>SUM(CJ138:CJ143)</f>
        <v>2003000</v>
      </c>
      <c r="CL146" s="319">
        <f>SUM(CL138:CL143)</f>
        <v>1000</v>
      </c>
      <c r="CM146" s="122">
        <f>SUM(CM138:CM143)</f>
        <v>2004000</v>
      </c>
      <c r="CO146" s="122">
        <f>SUM(CO138:CO143)</f>
        <v>-25000</v>
      </c>
      <c r="CP146" s="122">
        <f>SUM(CP138:CP143)</f>
        <v>1979000</v>
      </c>
      <c r="CR146" s="122">
        <f>SUM(CR138:CR143)</f>
        <v>0</v>
      </c>
      <c r="CS146" s="122">
        <f>SUM(CS138:CS143)</f>
        <v>1979000</v>
      </c>
      <c r="CU146" s="122">
        <f>SUM(CU138:CU143)</f>
        <v>3000</v>
      </c>
      <c r="CV146" s="122">
        <f>SUM(CV138:CV143)</f>
        <v>1982000</v>
      </c>
      <c r="CX146" s="122">
        <f>SUM(CX138:CX143)</f>
        <v>0</v>
      </c>
      <c r="CY146" s="122">
        <f>SUM(CY138:CY143)</f>
        <v>1982000</v>
      </c>
      <c r="DA146" s="122">
        <f>SUM(DA138:DA144)</f>
        <v>2365902.69</v>
      </c>
      <c r="DC146" s="122">
        <f>SUM(DC138:DC143)</f>
        <v>126000</v>
      </c>
      <c r="DE146" s="122">
        <f>SUM(DE138:DE143)</f>
        <v>0</v>
      </c>
      <c r="DF146" s="122">
        <f>SUM(DF138:DF143)</f>
        <v>126000</v>
      </c>
      <c r="DH146" s="122">
        <f>SUM(DH138:DH143)</f>
        <v>0</v>
      </c>
      <c r="DI146" s="122">
        <f>SUM(DI138:DI143)</f>
        <v>126000</v>
      </c>
      <c r="DK146" s="122">
        <f>SUM(DK138:DK143)</f>
        <v>0</v>
      </c>
      <c r="DL146" s="122">
        <f>SUM(DL138:DL143)</f>
        <v>126000</v>
      </c>
      <c r="DN146" s="122">
        <f>SUM(DN138:DN143)</f>
        <v>0</v>
      </c>
      <c r="DO146" s="122">
        <f>SUM(DO138:DO143)</f>
        <v>126000</v>
      </c>
      <c r="DQ146" s="122">
        <f>SUM(DQ138:DQ143)</f>
        <v>0</v>
      </c>
      <c r="DR146" s="122">
        <f>SUM(DR138:DR143)</f>
        <v>126000</v>
      </c>
      <c r="DT146" s="122">
        <f>SUM(DT138:DT143)</f>
        <v>0</v>
      </c>
      <c r="DU146" s="122">
        <f>SUM(DU138:DU143)</f>
        <v>126000</v>
      </c>
      <c r="DW146" s="122">
        <f>SUM(DW138:DW143)</f>
        <v>0</v>
      </c>
      <c r="DX146" s="122">
        <f>SUM(DX138:DX143)</f>
        <v>126000</v>
      </c>
      <c r="DZ146" s="122">
        <f>SUM(DZ138:DZ143)</f>
        <v>0</v>
      </c>
      <c r="EA146" s="122">
        <f>SUM(EA138:EA143)</f>
        <v>126000</v>
      </c>
      <c r="EC146" s="122">
        <f>SUM(EC138:EC143)</f>
        <v>-24000</v>
      </c>
      <c r="ED146" s="122">
        <f>SUM(ED138:ED143)</f>
        <v>102000</v>
      </c>
      <c r="EF146" s="122">
        <f>SUM(EF138:EF143)</f>
        <v>0</v>
      </c>
      <c r="EG146" s="122">
        <f>SUM(EG138:EG143)</f>
        <v>102000</v>
      </c>
      <c r="EI146" s="122">
        <f>SUM(EI138:EI143)</f>
        <v>101640</v>
      </c>
      <c r="EK146" s="122">
        <f>SUM(EK138:EK143)</f>
        <v>10000</v>
      </c>
      <c r="EL146" s="377">
        <f>EK146/EI146-1</f>
        <v>-0.90161353797717436</v>
      </c>
      <c r="EM146" s="122">
        <f>SUM(EM138:EM143)</f>
        <v>0</v>
      </c>
      <c r="EN146" s="122">
        <f>SUM(EN138:EN143)</f>
        <v>10000</v>
      </c>
      <c r="EP146" s="122">
        <f>SUM(EP138:EP143)</f>
        <v>0</v>
      </c>
      <c r="EQ146" s="122">
        <f>SUM(EQ138:EQ143)</f>
        <v>10000</v>
      </c>
      <c r="ES146" s="122">
        <f>SUM(ES138:ES143)</f>
        <v>0</v>
      </c>
      <c r="ET146" s="122">
        <f>SUM(ET138:ET143)</f>
        <v>10000</v>
      </c>
      <c r="EV146" s="122">
        <f>SUM(EV138:EV143)</f>
        <v>0</v>
      </c>
      <c r="EW146" s="122">
        <f>SUM(EW138:EW143)</f>
        <v>10000</v>
      </c>
      <c r="EY146" s="122">
        <f>SUM(EY138:EY143)</f>
        <v>0</v>
      </c>
      <c r="EZ146" s="122">
        <f>SUM(EZ138:EZ143)</f>
        <v>10000</v>
      </c>
      <c r="FB146" s="122">
        <f>SUM(FB138:FB143)</f>
        <v>0</v>
      </c>
      <c r="FC146" s="122">
        <f>SUM(FC138:FC143)</f>
        <v>10000</v>
      </c>
      <c r="FE146" s="122">
        <f>SUM(FE138:FE143)</f>
        <v>0</v>
      </c>
      <c r="FF146" s="122">
        <f>SUM(FF138:FF143)</f>
        <v>10000</v>
      </c>
      <c r="FH146" s="122">
        <f>SUM(FH138:FH143)</f>
        <v>0</v>
      </c>
      <c r="FI146" s="122">
        <f>SUM(FI138:FI143)</f>
        <v>10000</v>
      </c>
      <c r="FK146" s="122">
        <f>SUM(FK138:FK143)</f>
        <v>0</v>
      </c>
      <c r="FL146" s="122">
        <f>SUM(FL138:FL143)</f>
        <v>10000</v>
      </c>
      <c r="FN146" s="122">
        <f>SUM(FN138:FN143)</f>
        <v>0</v>
      </c>
      <c r="FO146" s="122">
        <f>SUM(FO138:FO143)</f>
        <v>10000</v>
      </c>
      <c r="FQ146" s="122">
        <v>0</v>
      </c>
      <c r="FR146" s="122">
        <v>10000</v>
      </c>
      <c r="FT146" s="122">
        <f>SUM(FT138:FT143)</f>
        <v>0</v>
      </c>
      <c r="FV146" s="122">
        <f>SUM(FV138:FV143)</f>
        <v>50000</v>
      </c>
      <c r="FW146" s="235" t="e">
        <f t="shared" ref="FW146:FW148" si="548">FV146/FT146</f>
        <v>#DIV/0!</v>
      </c>
      <c r="FY146" s="122">
        <f>SUM(FY138:FY143)</f>
        <v>0</v>
      </c>
      <c r="FZ146" s="122">
        <f>SUM(FZ138:FZ143)</f>
        <v>50000</v>
      </c>
      <c r="GB146" s="122">
        <f>SUM(GB138:GB143)</f>
        <v>0</v>
      </c>
      <c r="GC146" s="122">
        <f>SUM(GC138:GC143)</f>
        <v>50000</v>
      </c>
      <c r="GE146" s="122">
        <f>SUM(GE138:GE143)</f>
        <v>0</v>
      </c>
      <c r="GF146" s="122">
        <f>SUM(GF138:GF143)</f>
        <v>50000</v>
      </c>
      <c r="GH146" s="122">
        <f>SUM(GH138:GH143)</f>
        <v>0</v>
      </c>
      <c r="GI146" s="122">
        <f>SUM(GI138:GI143)</f>
        <v>50000</v>
      </c>
      <c r="GK146" s="122">
        <f>SUM(GK138:GK143)</f>
        <v>0</v>
      </c>
      <c r="GL146" s="122">
        <f>SUM(GL138:GL143)</f>
        <v>50000</v>
      </c>
      <c r="GN146" s="122">
        <f>SUM(GN138:GN143)</f>
        <v>0</v>
      </c>
      <c r="GO146" s="122">
        <f>SUM(GO138:GO143)</f>
        <v>50000</v>
      </c>
      <c r="GQ146" s="122">
        <f>SUM(GQ138:GQ143)</f>
        <v>-30000</v>
      </c>
      <c r="GR146" s="122">
        <f>SUM(GR138:GR143)</f>
        <v>20000</v>
      </c>
      <c r="GT146" s="122">
        <f>SUM(GT138:GT143)</f>
        <v>9200</v>
      </c>
      <c r="GU146" s="122">
        <f>SUM(GU138:GU143)</f>
        <v>29200</v>
      </c>
      <c r="GW146" s="122">
        <f>SUM(GW138:GW143)</f>
        <v>7000</v>
      </c>
      <c r="GX146" s="122">
        <f>SUM(GX138:GX143)</f>
        <v>36200</v>
      </c>
      <c r="GZ146" s="122">
        <f>SUM(GZ138:GZ143)</f>
        <v>-500</v>
      </c>
      <c r="HA146" s="430">
        <f>SUM(HA138:HA143)</f>
        <v>35700</v>
      </c>
      <c r="HC146" s="122">
        <f>SUM(HC138:HC143)</f>
        <v>9161</v>
      </c>
      <c r="HE146" s="122">
        <f>SUM(HE138:HE143)</f>
        <v>5000</v>
      </c>
      <c r="HF146" s="235">
        <f>HE146/HC146</f>
        <v>0.54579194411090493</v>
      </c>
    </row>
    <row r="147" spans="1:214" ht="13.5" customHeight="1" thickTop="1" thickBot="1">
      <c r="A147" s="64" t="s">
        <v>173</v>
      </c>
      <c r="B147" s="65" t="s">
        <v>357</v>
      </c>
      <c r="C147" s="284" t="s">
        <v>337</v>
      </c>
      <c r="D147" s="66">
        <f>D143</f>
        <v>398000</v>
      </c>
      <c r="E147" s="67"/>
      <c r="F147" s="66">
        <f>F143</f>
        <v>398000</v>
      </c>
      <c r="G147" s="67"/>
      <c r="H147" s="66"/>
      <c r="I147" s="66">
        <f>I143</f>
        <v>9765</v>
      </c>
      <c r="J147" s="68"/>
      <c r="K147" s="69"/>
      <c r="L147" s="123">
        <f>L143</f>
        <v>330000</v>
      </c>
      <c r="M147" s="70">
        <f t="shared" si="538"/>
        <v>-0.17085427135678388</v>
      </c>
      <c r="N147" s="70">
        <f t="shared" si="539"/>
        <v>32.794162826420894</v>
      </c>
      <c r="Q147" s="123">
        <f t="shared" ref="Q147:T148" si="549">Q143</f>
        <v>674000</v>
      </c>
      <c r="R147" s="123">
        <f t="shared" si="549"/>
        <v>550715</v>
      </c>
      <c r="S147" s="123">
        <f t="shared" si="549"/>
        <v>740000</v>
      </c>
      <c r="T147" s="123">
        <f t="shared" si="549"/>
        <v>66000</v>
      </c>
      <c r="U147" s="155">
        <f t="shared" si="540"/>
        <v>9.7922848664688367E-2</v>
      </c>
      <c r="Y147" s="123">
        <f>Y143</f>
        <v>740000</v>
      </c>
      <c r="AA147" s="123">
        <f>AA143</f>
        <v>740000</v>
      </c>
      <c r="AB147" s="123">
        <f>AB143</f>
        <v>0</v>
      </c>
      <c r="AE147" s="123">
        <f>AE143</f>
        <v>740000</v>
      </c>
      <c r="AF147" s="182"/>
      <c r="AH147" s="123">
        <f>AH143</f>
        <v>716318.59</v>
      </c>
      <c r="AI147" s="17">
        <f t="shared" si="541"/>
        <v>0.96799809459459452</v>
      </c>
      <c r="AK147" s="123">
        <f>AK143</f>
        <v>110000</v>
      </c>
      <c r="AL147" s="193">
        <f t="shared" si="542"/>
        <v>0.33333333333333331</v>
      </c>
      <c r="AM147" s="17">
        <f t="shared" si="543"/>
        <v>0.14864864864864866</v>
      </c>
      <c r="AN147" s="17">
        <f t="shared" si="544"/>
        <v>0.15356295583505658</v>
      </c>
      <c r="AS147" s="123">
        <f>AS143</f>
        <v>110000</v>
      </c>
      <c r="AU147" s="123">
        <f>AU143</f>
        <v>0</v>
      </c>
      <c r="AV147" s="123">
        <f>AV143</f>
        <v>110000</v>
      </c>
      <c r="AX147" s="123">
        <f>AX143</f>
        <v>0</v>
      </c>
      <c r="AY147" s="123">
        <f>AY143</f>
        <v>110000</v>
      </c>
      <c r="BA147" s="123">
        <f>BA143</f>
        <v>0</v>
      </c>
      <c r="BB147" s="123">
        <f>BB143</f>
        <v>110000</v>
      </c>
      <c r="BD147" s="123">
        <f>BD143</f>
        <v>-20000</v>
      </c>
      <c r="BE147" s="123">
        <f>BE143</f>
        <v>90000</v>
      </c>
      <c r="BG147" s="123">
        <f>BG143</f>
        <v>-1500</v>
      </c>
      <c r="BH147" s="123">
        <f>BH143</f>
        <v>88500</v>
      </c>
      <c r="BJ147" s="123">
        <f>BJ143</f>
        <v>84700</v>
      </c>
      <c r="BK147" s="236">
        <f t="shared" si="545"/>
        <v>0.95706214689265534</v>
      </c>
      <c r="BM147" s="123">
        <f>BM143</f>
        <v>1720000</v>
      </c>
      <c r="BN147" s="236">
        <f t="shared" si="546"/>
        <v>20.306965761511215</v>
      </c>
      <c r="BO147" s="236">
        <f t="shared" si="547"/>
        <v>19.435028248587571</v>
      </c>
      <c r="BQ147" s="123">
        <f>BQ143</f>
        <v>0</v>
      </c>
      <c r="BR147" s="123">
        <f>BR143</f>
        <v>1720000</v>
      </c>
      <c r="BT147" s="123">
        <f>BT143</f>
        <v>0</v>
      </c>
      <c r="BU147" s="123">
        <f>BU143</f>
        <v>1720000</v>
      </c>
      <c r="BW147" s="123">
        <f>BW143</f>
        <v>220000</v>
      </c>
      <c r="BX147" s="123">
        <f>BX143</f>
        <v>1940000</v>
      </c>
      <c r="BZ147" s="123">
        <f>BZ143</f>
        <v>0</v>
      </c>
      <c r="CA147" s="123">
        <f>CA143</f>
        <v>1940000</v>
      </c>
      <c r="CC147" s="123">
        <f>CC143</f>
        <v>0</v>
      </c>
      <c r="CD147" s="123">
        <f>CD143</f>
        <v>1940000</v>
      </c>
      <c r="CF147" s="123">
        <f>CF143</f>
        <v>0</v>
      </c>
      <c r="CG147" s="123">
        <f>CG143</f>
        <v>1940000</v>
      </c>
      <c r="CI147" s="123">
        <f>CI143</f>
        <v>33000</v>
      </c>
      <c r="CJ147" s="123">
        <f>CJ143</f>
        <v>1973000</v>
      </c>
      <c r="CL147" s="319">
        <f>CL143</f>
        <v>0</v>
      </c>
      <c r="CM147" s="123">
        <f>CM143</f>
        <v>1973000</v>
      </c>
      <c r="CO147" s="123">
        <f>CO143</f>
        <v>0</v>
      </c>
      <c r="CP147" s="123">
        <f>CP143</f>
        <v>1973000</v>
      </c>
      <c r="CR147" s="123">
        <f>CR143</f>
        <v>0</v>
      </c>
      <c r="CS147" s="123">
        <f>CS143</f>
        <v>1973000</v>
      </c>
      <c r="CU147" s="123">
        <f>CU143</f>
        <v>8000</v>
      </c>
      <c r="CV147" s="123">
        <f>CV143</f>
        <v>1981000</v>
      </c>
      <c r="CX147" s="123">
        <f>CX143</f>
        <v>0</v>
      </c>
      <c r="CY147" s="123">
        <f>CY143</f>
        <v>1981000</v>
      </c>
      <c r="DA147" s="123">
        <f>DA143</f>
        <v>1980397.69</v>
      </c>
      <c r="DC147" s="123">
        <f>DC143</f>
        <v>0</v>
      </c>
      <c r="DE147" s="123">
        <f>DE143</f>
        <v>0</v>
      </c>
      <c r="DF147" s="123">
        <f>DF143</f>
        <v>0</v>
      </c>
      <c r="DH147" s="123">
        <f>DH143</f>
        <v>0</v>
      </c>
      <c r="DI147" s="123">
        <f>DI143</f>
        <v>0</v>
      </c>
      <c r="DK147" s="123">
        <f>DK143</f>
        <v>0</v>
      </c>
      <c r="DL147" s="123">
        <f>DL143</f>
        <v>0</v>
      </c>
      <c r="DN147" s="123">
        <f>DN143</f>
        <v>0</v>
      </c>
      <c r="DO147" s="123">
        <f>DO143</f>
        <v>0</v>
      </c>
      <c r="DQ147" s="123">
        <f>DQ143</f>
        <v>0</v>
      </c>
      <c r="DR147" s="123">
        <f>DR143</f>
        <v>0</v>
      </c>
      <c r="DT147" s="123">
        <f>DT143</f>
        <v>0</v>
      </c>
      <c r="DU147" s="123">
        <f>DU143</f>
        <v>0</v>
      </c>
      <c r="DW147" s="123">
        <f>DW143</f>
        <v>0</v>
      </c>
      <c r="DX147" s="123">
        <f>DX143</f>
        <v>0</v>
      </c>
      <c r="DZ147" s="123">
        <f>DZ143</f>
        <v>0</v>
      </c>
      <c r="EA147" s="123">
        <f>EA143</f>
        <v>0</v>
      </c>
      <c r="EC147" s="123">
        <f>EC143</f>
        <v>0</v>
      </c>
      <c r="ED147" s="123">
        <f>ED143</f>
        <v>0</v>
      </c>
      <c r="EF147" s="123">
        <f>EF143</f>
        <v>0</v>
      </c>
      <c r="EG147" s="123">
        <f>EG143</f>
        <v>0</v>
      </c>
      <c r="EI147" s="123">
        <f>EI143</f>
        <v>0</v>
      </c>
      <c r="EK147" s="123">
        <f>EK143</f>
        <v>10000</v>
      </c>
      <c r="EL147" s="377" t="e">
        <f>EK147/EI147-1</f>
        <v>#DIV/0!</v>
      </c>
      <c r="EM147" s="123">
        <f>EM143</f>
        <v>0</v>
      </c>
      <c r="EN147" s="123">
        <f>EN143</f>
        <v>10000</v>
      </c>
      <c r="EP147" s="123">
        <f>EP143</f>
        <v>0</v>
      </c>
      <c r="EQ147" s="123">
        <f>EQ143</f>
        <v>10000</v>
      </c>
      <c r="ES147" s="123">
        <f>ES143</f>
        <v>0</v>
      </c>
      <c r="ET147" s="123">
        <f>ET143</f>
        <v>10000</v>
      </c>
      <c r="EV147" s="123">
        <f>EV143</f>
        <v>0</v>
      </c>
      <c r="EW147" s="123">
        <f>EW143</f>
        <v>10000</v>
      </c>
      <c r="EY147" s="123">
        <f>EY143</f>
        <v>0</v>
      </c>
      <c r="EZ147" s="123">
        <f>EZ143</f>
        <v>10000</v>
      </c>
      <c r="FB147" s="123">
        <f>FB143</f>
        <v>0</v>
      </c>
      <c r="FC147" s="123">
        <f>FC143</f>
        <v>10000</v>
      </c>
      <c r="FE147" s="123">
        <f>FE143</f>
        <v>0</v>
      </c>
      <c r="FF147" s="123">
        <f>FF143</f>
        <v>10000</v>
      </c>
      <c r="FH147" s="123">
        <f>FH143</f>
        <v>0</v>
      </c>
      <c r="FI147" s="123">
        <f>FI143</f>
        <v>10000</v>
      </c>
      <c r="FK147" s="123">
        <f>FK143</f>
        <v>0</v>
      </c>
      <c r="FL147" s="123">
        <f>FL143</f>
        <v>10000</v>
      </c>
      <c r="FN147" s="123">
        <f>FN143</f>
        <v>0</v>
      </c>
      <c r="FO147" s="123">
        <f>FO143</f>
        <v>10000</v>
      </c>
      <c r="FQ147" s="123">
        <v>0</v>
      </c>
      <c r="FR147" s="123">
        <v>10000</v>
      </c>
      <c r="FT147" s="123">
        <f>FT143</f>
        <v>0</v>
      </c>
      <c r="FV147" s="123">
        <f>FV143</f>
        <v>50000</v>
      </c>
      <c r="FW147" s="235" t="e">
        <f t="shared" si="548"/>
        <v>#DIV/0!</v>
      </c>
      <c r="FY147" s="123">
        <f>FY143</f>
        <v>0</v>
      </c>
      <c r="FZ147" s="123">
        <f>FZ143</f>
        <v>50000</v>
      </c>
      <c r="GB147" s="123">
        <f>GB143</f>
        <v>0</v>
      </c>
      <c r="GC147" s="123">
        <f>GC143</f>
        <v>50000</v>
      </c>
      <c r="GE147" s="123">
        <f>GE143</f>
        <v>0</v>
      </c>
      <c r="GF147" s="123">
        <f>GF143</f>
        <v>50000</v>
      </c>
      <c r="GH147" s="123">
        <f>GH143</f>
        <v>0</v>
      </c>
      <c r="GI147" s="123">
        <f>GI143</f>
        <v>50000</v>
      </c>
      <c r="GK147" s="123">
        <f>GK143</f>
        <v>0</v>
      </c>
      <c r="GL147" s="123">
        <f>GL143</f>
        <v>50000</v>
      </c>
      <c r="GN147" s="123">
        <f>GN143</f>
        <v>0</v>
      </c>
      <c r="GO147" s="123">
        <f>GO143</f>
        <v>50000</v>
      </c>
      <c r="GQ147" s="123">
        <f>GQ143</f>
        <v>-30000</v>
      </c>
      <c r="GR147" s="123">
        <f>GR143</f>
        <v>20000</v>
      </c>
      <c r="GT147" s="123">
        <f>GT143</f>
        <v>0</v>
      </c>
      <c r="GU147" s="123">
        <f>GU143</f>
        <v>20000</v>
      </c>
      <c r="GW147" s="123">
        <f>GW143</f>
        <v>-10000</v>
      </c>
      <c r="GX147" s="123">
        <f>GX143</f>
        <v>10000</v>
      </c>
      <c r="GZ147" s="123">
        <f>GZ143</f>
        <v>-10000</v>
      </c>
      <c r="HA147" s="431">
        <f>HA143</f>
        <v>0</v>
      </c>
      <c r="HC147" s="123">
        <f>HC143</f>
        <v>0</v>
      </c>
      <c r="HE147" s="123">
        <f>HE143</f>
        <v>5000</v>
      </c>
      <c r="HF147" s="235" t="e">
        <f>HE147/HC147</f>
        <v>#DIV/0!</v>
      </c>
    </row>
    <row r="148" spans="1:214" ht="15" customHeight="1" thickTop="1" thickBot="1">
      <c r="A148" s="75" t="s">
        <v>173</v>
      </c>
      <c r="B148" s="76" t="s">
        <v>277</v>
      </c>
      <c r="C148" s="285" t="s">
        <v>338</v>
      </c>
      <c r="D148" s="78">
        <f>D144</f>
        <v>0</v>
      </c>
      <c r="E148" s="79"/>
      <c r="F148" s="78">
        <f>F144</f>
        <v>0</v>
      </c>
      <c r="G148" s="79"/>
      <c r="H148" s="78"/>
      <c r="I148" s="78">
        <f>I144</f>
        <v>0</v>
      </c>
      <c r="J148" s="80"/>
      <c r="K148" s="77"/>
      <c r="L148" s="124">
        <f>L144</f>
        <v>500000</v>
      </c>
      <c r="M148" s="81" t="e">
        <f t="shared" si="538"/>
        <v>#DIV/0!</v>
      </c>
      <c r="N148" s="81" t="e">
        <f t="shared" si="539"/>
        <v>#DIV/0!</v>
      </c>
      <c r="Q148" s="124">
        <f t="shared" si="549"/>
        <v>177000</v>
      </c>
      <c r="R148" s="124">
        <f t="shared" si="549"/>
        <v>175690</v>
      </c>
      <c r="S148" s="124">
        <f t="shared" si="549"/>
        <v>201000</v>
      </c>
      <c r="T148" s="124">
        <f t="shared" si="549"/>
        <v>24000</v>
      </c>
      <c r="U148" s="156">
        <f t="shared" si="540"/>
        <v>0.13559322033898313</v>
      </c>
      <c r="Y148" s="124">
        <f>Y144</f>
        <v>201000</v>
      </c>
      <c r="AA148" s="124">
        <f>AA144</f>
        <v>218000</v>
      </c>
      <c r="AB148" s="124">
        <f>AB144</f>
        <v>17000</v>
      </c>
      <c r="AE148" s="124">
        <f>AE144</f>
        <v>218000</v>
      </c>
      <c r="AF148" s="182"/>
      <c r="AH148" s="124">
        <f>AH144</f>
        <v>216547.72</v>
      </c>
      <c r="AI148" s="17">
        <f t="shared" si="541"/>
        <v>0.99333816513761464</v>
      </c>
      <c r="AK148" s="124">
        <f>AK144</f>
        <v>0</v>
      </c>
      <c r="AL148" s="193">
        <f t="shared" si="542"/>
        <v>0</v>
      </c>
      <c r="AM148" s="17">
        <f t="shared" si="543"/>
        <v>0</v>
      </c>
      <c r="AN148" s="17">
        <f t="shared" si="544"/>
        <v>0</v>
      </c>
      <c r="AS148" s="124">
        <f>AS144</f>
        <v>0</v>
      </c>
      <c r="AU148" s="124">
        <f>AU144</f>
        <v>0</v>
      </c>
      <c r="AV148" s="124">
        <f>AV144</f>
        <v>0</v>
      </c>
      <c r="AX148" s="124">
        <f>AX144</f>
        <v>0</v>
      </c>
      <c r="AY148" s="124">
        <f>AY144</f>
        <v>0</v>
      </c>
      <c r="BA148" s="124">
        <f>BA144</f>
        <v>0</v>
      </c>
      <c r="BB148" s="124">
        <f>BB144</f>
        <v>0</v>
      </c>
      <c r="BD148" s="124">
        <f>BD144</f>
        <v>0</v>
      </c>
      <c r="BE148" s="124">
        <f>BE144</f>
        <v>0</v>
      </c>
      <c r="BG148" s="124">
        <f>BG144</f>
        <v>0</v>
      </c>
      <c r="BH148" s="124">
        <f>BH144</f>
        <v>0</v>
      </c>
      <c r="BJ148" s="124">
        <f>BJ144</f>
        <v>0</v>
      </c>
      <c r="BK148" s="237" t="e">
        <f t="shared" si="545"/>
        <v>#DIV/0!</v>
      </c>
      <c r="BM148" s="124">
        <f>BM144</f>
        <v>315000</v>
      </c>
      <c r="BN148" s="237" t="e">
        <f t="shared" si="546"/>
        <v>#DIV/0!</v>
      </c>
      <c r="BO148" s="237" t="e">
        <f t="shared" si="547"/>
        <v>#DIV/0!</v>
      </c>
      <c r="BQ148" s="124">
        <f>BQ144</f>
        <v>0</v>
      </c>
      <c r="BR148" s="124">
        <f>BR144</f>
        <v>315000</v>
      </c>
      <c r="BT148" s="124">
        <f>BT144</f>
        <v>0</v>
      </c>
      <c r="BU148" s="124">
        <f>BU144</f>
        <v>315000</v>
      </c>
      <c r="BW148" s="124">
        <f>BW144</f>
        <v>0</v>
      </c>
      <c r="BX148" s="124">
        <f>BX144</f>
        <v>315000</v>
      </c>
      <c r="BZ148" s="124">
        <f>BZ144</f>
        <v>0</v>
      </c>
      <c r="CA148" s="124">
        <f>CA144</f>
        <v>315000</v>
      </c>
      <c r="CC148" s="124">
        <f>CC144</f>
        <v>0</v>
      </c>
      <c r="CD148" s="124">
        <f>CD144</f>
        <v>315000</v>
      </c>
      <c r="CF148" s="124">
        <f>CF144</f>
        <v>0</v>
      </c>
      <c r="CG148" s="124">
        <f>CG144</f>
        <v>315000</v>
      </c>
      <c r="CI148" s="124">
        <f>CI144</f>
        <v>0</v>
      </c>
      <c r="CJ148" s="124">
        <f>CJ144</f>
        <v>315000</v>
      </c>
      <c r="CL148" s="319">
        <f>CL144</f>
        <v>48300</v>
      </c>
      <c r="CM148" s="124">
        <f>CM144</f>
        <v>363300</v>
      </c>
      <c r="CO148" s="124">
        <f>CO144</f>
        <v>0</v>
      </c>
      <c r="CP148" s="124">
        <f>CP144</f>
        <v>363300</v>
      </c>
      <c r="CR148" s="124">
        <f>CR144</f>
        <v>0</v>
      </c>
      <c r="CS148" s="124">
        <f>CS144</f>
        <v>363300</v>
      </c>
      <c r="CU148" s="124">
        <f>CU144</f>
        <v>21500</v>
      </c>
      <c r="CV148" s="124">
        <f>CV144</f>
        <v>384800</v>
      </c>
      <c r="CX148" s="124">
        <f>CX144</f>
        <v>0</v>
      </c>
      <c r="CY148" s="124">
        <f>CY144</f>
        <v>384800</v>
      </c>
      <c r="DA148" s="124">
        <f>DA144</f>
        <v>384506</v>
      </c>
      <c r="DC148" s="124">
        <f>DC144</f>
        <v>0</v>
      </c>
      <c r="DE148" s="124">
        <f>DE144</f>
        <v>0</v>
      </c>
      <c r="DF148" s="124">
        <f>DF144</f>
        <v>0</v>
      </c>
      <c r="DH148" s="124">
        <f>DH144</f>
        <v>0</v>
      </c>
      <c r="DI148" s="124">
        <f>DI144</f>
        <v>0</v>
      </c>
      <c r="DK148" s="124">
        <f>DK144</f>
        <v>0</v>
      </c>
      <c r="DL148" s="124">
        <f>DL144</f>
        <v>0</v>
      </c>
      <c r="DN148" s="124">
        <f>DN144</f>
        <v>0</v>
      </c>
      <c r="DO148" s="124">
        <f>DO144</f>
        <v>0</v>
      </c>
      <c r="DQ148" s="124">
        <f>DQ144</f>
        <v>0</v>
      </c>
      <c r="DR148" s="124">
        <f>DR144</f>
        <v>0</v>
      </c>
      <c r="DT148" s="124">
        <f>DT144</f>
        <v>0</v>
      </c>
      <c r="DU148" s="124">
        <f>DU144</f>
        <v>0</v>
      </c>
      <c r="DW148" s="124">
        <f>DW144</f>
        <v>0</v>
      </c>
      <c r="DX148" s="124">
        <f>DX144</f>
        <v>0</v>
      </c>
      <c r="DZ148" s="124">
        <f>DZ144</f>
        <v>0</v>
      </c>
      <c r="EA148" s="124">
        <f>EA144</f>
        <v>0</v>
      </c>
      <c r="EC148" s="124">
        <f>EC144</f>
        <v>0</v>
      </c>
      <c r="ED148" s="124">
        <f>ED144</f>
        <v>0</v>
      </c>
      <c r="EF148" s="124">
        <f>EF144</f>
        <v>0</v>
      </c>
      <c r="EG148" s="124">
        <f>EG144</f>
        <v>0</v>
      </c>
      <c r="EI148" s="124">
        <f>EI144</f>
        <v>0</v>
      </c>
      <c r="EK148" s="124">
        <f>EK144</f>
        <v>0</v>
      </c>
      <c r="EM148" s="124">
        <f>EM144</f>
        <v>0</v>
      </c>
      <c r="EN148" s="124">
        <f>EN144</f>
        <v>0</v>
      </c>
      <c r="EP148" s="124">
        <f>EP144</f>
        <v>0</v>
      </c>
      <c r="EQ148" s="124">
        <f>EQ144</f>
        <v>0</v>
      </c>
      <c r="ES148" s="124">
        <f>ES144</f>
        <v>0</v>
      </c>
      <c r="ET148" s="124">
        <f>ET144</f>
        <v>0</v>
      </c>
      <c r="EV148" s="124">
        <f>EV144</f>
        <v>0</v>
      </c>
      <c r="EW148" s="124">
        <f>EW144</f>
        <v>0</v>
      </c>
      <c r="EY148" s="124">
        <f>EY144</f>
        <v>0</v>
      </c>
      <c r="EZ148" s="124">
        <f>EZ144</f>
        <v>0</v>
      </c>
      <c r="FB148" s="124">
        <f>FB144</f>
        <v>0</v>
      </c>
      <c r="FC148" s="124">
        <f>FC144</f>
        <v>0</v>
      </c>
      <c r="FE148" s="124">
        <f>FE144</f>
        <v>0</v>
      </c>
      <c r="FF148" s="124">
        <f>FF144</f>
        <v>0</v>
      </c>
      <c r="FH148" s="124">
        <f>FH144</f>
        <v>0</v>
      </c>
      <c r="FI148" s="124">
        <f>FI144</f>
        <v>0</v>
      </c>
      <c r="FK148" s="124">
        <f>FK144</f>
        <v>0</v>
      </c>
      <c r="FL148" s="124">
        <f>FL144</f>
        <v>0</v>
      </c>
      <c r="FN148" s="124">
        <f>FN144</f>
        <v>0</v>
      </c>
      <c r="FO148" s="124">
        <f>FO144</f>
        <v>0</v>
      </c>
      <c r="FQ148" s="124">
        <v>0</v>
      </c>
      <c r="FR148" s="124">
        <v>0</v>
      </c>
      <c r="FT148" s="124">
        <f>FT144</f>
        <v>0</v>
      </c>
      <c r="FV148" s="124">
        <f>FV144</f>
        <v>0</v>
      </c>
      <c r="FW148" s="235" t="e">
        <f t="shared" si="548"/>
        <v>#DIV/0!</v>
      </c>
      <c r="FY148" s="124">
        <f>FY144</f>
        <v>0</v>
      </c>
      <c r="FZ148" s="124">
        <f>FZ144</f>
        <v>0</v>
      </c>
      <c r="GB148" s="124">
        <f>GB144</f>
        <v>0</v>
      </c>
      <c r="GC148" s="124">
        <f>GC144</f>
        <v>0</v>
      </c>
      <c r="GE148" s="124">
        <f>GE144</f>
        <v>0</v>
      </c>
      <c r="GF148" s="124">
        <f>GF144</f>
        <v>0</v>
      </c>
      <c r="GH148" s="124">
        <f>GH144</f>
        <v>0</v>
      </c>
      <c r="GI148" s="124">
        <f>GI144</f>
        <v>0</v>
      </c>
      <c r="GK148" s="124">
        <f>GK144</f>
        <v>0</v>
      </c>
      <c r="GL148" s="124">
        <f>GL144</f>
        <v>0</v>
      </c>
      <c r="GN148" s="124">
        <f>GN144</f>
        <v>0</v>
      </c>
      <c r="GO148" s="124">
        <f>GO144</f>
        <v>0</v>
      </c>
      <c r="GQ148" s="124">
        <f>GQ144</f>
        <v>0</v>
      </c>
      <c r="GR148" s="124">
        <f>GR144</f>
        <v>0</v>
      </c>
      <c r="GT148" s="124">
        <f>GT144</f>
        <v>0</v>
      </c>
      <c r="GU148" s="124">
        <f>GU144</f>
        <v>0</v>
      </c>
      <c r="GW148" s="124">
        <f>GW144</f>
        <v>26000</v>
      </c>
      <c r="GX148" s="124">
        <f>GX144</f>
        <v>26000</v>
      </c>
      <c r="GZ148" s="124">
        <f>GZ144</f>
        <v>0</v>
      </c>
      <c r="HA148" s="432">
        <f>HA144</f>
        <v>26000</v>
      </c>
      <c r="HC148" s="124">
        <f>HC144</f>
        <v>25518</v>
      </c>
      <c r="HE148" s="124">
        <f>HE144</f>
        <v>0</v>
      </c>
      <c r="HF148" s="235">
        <f>HE148/HC148</f>
        <v>0</v>
      </c>
    </row>
    <row r="149" spans="1:214" ht="15.75" outlineLevel="1" thickTop="1">
      <c r="A149" s="1" t="s">
        <v>175</v>
      </c>
      <c r="B149" s="1" t="s">
        <v>113</v>
      </c>
      <c r="C149" s="4" t="s">
        <v>114</v>
      </c>
      <c r="D149" s="43">
        <v>30000</v>
      </c>
      <c r="E149" s="34">
        <v>73.569999999999993</v>
      </c>
      <c r="F149" s="43">
        <v>30000</v>
      </c>
      <c r="G149" s="34">
        <v>73.569999999999993</v>
      </c>
      <c r="H149" s="46">
        <v>22070.400000000001</v>
      </c>
      <c r="I149" s="36">
        <v>22070</v>
      </c>
      <c r="J149" s="14"/>
      <c r="L149" s="118">
        <f>'[2]2020'!$Q$56</f>
        <v>10000</v>
      </c>
      <c r="M149" s="17">
        <f t="shared" si="538"/>
        <v>-0.66666666666666674</v>
      </c>
      <c r="N149" s="17">
        <f t="shared" si="539"/>
        <v>-0.54689623923878572</v>
      </c>
      <c r="Q149" s="118">
        <v>10000</v>
      </c>
      <c r="R149" s="15">
        <v>0</v>
      </c>
      <c r="S149" s="118">
        <v>10000</v>
      </c>
      <c r="T149" s="15">
        <f>S149-Q149</f>
        <v>0</v>
      </c>
      <c r="U149" s="16">
        <f t="shared" si="540"/>
        <v>0</v>
      </c>
      <c r="Y149" s="118">
        <v>10000</v>
      </c>
      <c r="AA149" s="118">
        <v>36000</v>
      </c>
      <c r="AB149" s="185">
        <f t="shared" ref="AB149:AB153" si="550">AA149-Y149</f>
        <v>26000</v>
      </c>
      <c r="AC149" s="187">
        <f t="shared" ref="AC149:AC150" si="551">AA149-Y149</f>
        <v>26000</v>
      </c>
      <c r="AD149" s="187"/>
      <c r="AE149" s="118">
        <v>36000</v>
      </c>
      <c r="AF149" s="182"/>
      <c r="AH149" s="15">
        <v>27752.560000000001</v>
      </c>
      <c r="AI149" s="17">
        <f t="shared" si="541"/>
        <v>0.7709044444444445</v>
      </c>
      <c r="AK149" s="118">
        <v>0</v>
      </c>
      <c r="AS149" s="15">
        <f t="shared" ref="AS149" si="552">AR149+AK149</f>
        <v>0</v>
      </c>
      <c r="AV149" s="15">
        <f t="shared" ref="AV149" si="553">AS149+AU149</f>
        <v>0</v>
      </c>
      <c r="AX149" s="15"/>
      <c r="AY149" s="15">
        <f t="shared" ref="AY149" si="554">AV149+AX149</f>
        <v>0</v>
      </c>
      <c r="BB149" s="15">
        <f t="shared" ref="BB149" si="555">AY149+BA149</f>
        <v>0</v>
      </c>
      <c r="BD149" s="15"/>
      <c r="BE149" s="15">
        <f t="shared" ref="BE149" si="556">BB149+BD149</f>
        <v>0</v>
      </c>
      <c r="BG149" s="15"/>
      <c r="BH149" s="15">
        <f t="shared" ref="BH149" si="557">BE149+BG149</f>
        <v>0</v>
      </c>
      <c r="BM149" s="15"/>
      <c r="BQ149" s="15"/>
      <c r="BR149" s="15"/>
      <c r="BT149" s="15"/>
      <c r="BU149" s="15"/>
      <c r="BW149" s="15"/>
      <c r="BX149" s="15"/>
      <c r="BZ149" s="15"/>
      <c r="CA149" s="15"/>
      <c r="CC149" s="15"/>
      <c r="CD149" s="15"/>
      <c r="CF149" s="15"/>
      <c r="CG149" s="15"/>
      <c r="CI149" s="15"/>
      <c r="CJ149" s="15"/>
      <c r="CM149" s="15"/>
      <c r="CP149" s="15"/>
      <c r="CS149" s="15"/>
      <c r="CV149" s="15"/>
      <c r="CY149" s="15"/>
      <c r="DE149" s="15"/>
      <c r="DF149" s="15">
        <f t="shared" ref="DF149" si="558">DC149+DE149</f>
        <v>0</v>
      </c>
      <c r="DH149" s="15"/>
      <c r="DI149" s="15">
        <f t="shared" ref="DI149" si="559">DF149+DH149</f>
        <v>0</v>
      </c>
      <c r="DK149" s="15"/>
      <c r="DL149" s="15">
        <f t="shared" ref="DL149" si="560">DI149+DK149</f>
        <v>0</v>
      </c>
      <c r="DN149" s="15"/>
      <c r="DO149" s="15">
        <f t="shared" ref="DO149" si="561">DL149+DN149</f>
        <v>0</v>
      </c>
      <c r="DQ149" s="15"/>
      <c r="DR149" s="15">
        <f t="shared" ref="DR149" si="562">DO149+DQ149</f>
        <v>0</v>
      </c>
      <c r="DT149" s="15"/>
      <c r="DU149" s="15">
        <f t="shared" ref="DU149" si="563">DR149+DT149</f>
        <v>0</v>
      </c>
      <c r="DW149" s="15"/>
      <c r="DX149" s="15">
        <f t="shared" ref="DX149" si="564">DU149+DW149</f>
        <v>0</v>
      </c>
      <c r="DZ149" s="15"/>
      <c r="EA149" s="15">
        <f t="shared" ref="EA149" si="565">DX149+DZ149</f>
        <v>0</v>
      </c>
      <c r="EC149" s="15"/>
      <c r="ED149" s="15">
        <f t="shared" ref="ED149" si="566">EA149+EC149</f>
        <v>0</v>
      </c>
      <c r="EF149" s="15"/>
      <c r="EG149" s="15">
        <f t="shared" ref="EG149" si="567">ED149+EF149</f>
        <v>0</v>
      </c>
      <c r="EK149" s="15"/>
      <c r="EM149" s="15"/>
      <c r="EN149" s="15">
        <f t="shared" ref="EN149" si="568">EK149+EM149</f>
        <v>0</v>
      </c>
      <c r="EP149" s="15"/>
      <c r="EQ149" s="15">
        <f t="shared" ref="EQ149" si="569">EN149+EP149</f>
        <v>0</v>
      </c>
      <c r="ES149" s="15"/>
      <c r="ET149" s="15">
        <f t="shared" ref="ET149" si="570">EQ149+ES149</f>
        <v>0</v>
      </c>
      <c r="EW149" s="15">
        <f t="shared" ref="EW149" si="571">ET149+EV149</f>
        <v>0</v>
      </c>
      <c r="EZ149" s="15">
        <f t="shared" ref="EZ149" si="572">EW149+EY149</f>
        <v>0</v>
      </c>
      <c r="FC149" s="15">
        <f t="shared" ref="FC149" si="573">EZ149+FB149</f>
        <v>0</v>
      </c>
      <c r="FF149" s="15">
        <f t="shared" ref="FF149" si="574">FC149+FE149</f>
        <v>0</v>
      </c>
      <c r="FI149" s="15">
        <f t="shared" ref="FI149" si="575">FF149+FH149</f>
        <v>0</v>
      </c>
      <c r="FL149" s="15">
        <f t="shared" ref="FL149" si="576">FI149+FK149</f>
        <v>0</v>
      </c>
      <c r="FO149" s="15">
        <f t="shared" ref="FO149" si="577">FL149+FN149</f>
        <v>0</v>
      </c>
      <c r="FR149" s="15">
        <v>0</v>
      </c>
      <c r="FZ149" s="15">
        <f>FV149+FY149</f>
        <v>0</v>
      </c>
      <c r="GB149" s="15"/>
      <c r="GC149" s="15">
        <f>FZ149+GB149</f>
        <v>0</v>
      </c>
      <c r="GE149" s="15"/>
      <c r="GF149" s="15">
        <f>GC149+GE149</f>
        <v>0</v>
      </c>
      <c r="GH149" s="15"/>
      <c r="GI149" s="15">
        <f>GF149+GH149</f>
        <v>0</v>
      </c>
      <c r="GK149" s="15"/>
      <c r="GL149" s="15">
        <f>GI149+GK149</f>
        <v>0</v>
      </c>
      <c r="GN149" s="15"/>
      <c r="GO149" s="15">
        <f>GL149+GN149</f>
        <v>0</v>
      </c>
      <c r="GQ149" s="15"/>
      <c r="GR149" s="15">
        <f>GO149+GQ149</f>
        <v>0</v>
      </c>
      <c r="GT149" s="15"/>
      <c r="GU149" s="15">
        <f>GR149+GT149</f>
        <v>0</v>
      </c>
      <c r="GW149" s="15"/>
      <c r="GX149" s="15">
        <f>GU149+GW149</f>
        <v>0</v>
      </c>
      <c r="GZ149" s="15"/>
      <c r="HA149" s="189">
        <f>GX149+GZ149</f>
        <v>0</v>
      </c>
      <c r="HE149" s="15">
        <v>10000</v>
      </c>
    </row>
    <row r="150" spans="1:214" outlineLevel="1">
      <c r="A150" s="1" t="s">
        <v>175</v>
      </c>
      <c r="B150" s="1" t="s">
        <v>146</v>
      </c>
      <c r="C150" s="4" t="s">
        <v>147</v>
      </c>
      <c r="D150" s="43">
        <v>2000</v>
      </c>
      <c r="E150" s="34">
        <v>91.66</v>
      </c>
      <c r="F150" s="43">
        <v>2000</v>
      </c>
      <c r="G150" s="34">
        <v>91.66</v>
      </c>
      <c r="H150" s="46">
        <v>1833.15</v>
      </c>
      <c r="I150" s="36">
        <v>2000</v>
      </c>
      <c r="J150" s="14"/>
      <c r="L150" s="118">
        <v>2000</v>
      </c>
      <c r="M150" s="17">
        <f t="shared" si="538"/>
        <v>0</v>
      </c>
      <c r="N150" s="17">
        <f t="shared" si="539"/>
        <v>0</v>
      </c>
      <c r="Q150" s="118">
        <v>2000</v>
      </c>
      <c r="R150" s="15">
        <v>0</v>
      </c>
      <c r="S150" s="118">
        <v>1000</v>
      </c>
      <c r="T150" s="15">
        <f>S150-Q150</f>
        <v>-1000</v>
      </c>
      <c r="U150" s="16">
        <f t="shared" si="540"/>
        <v>-0.5</v>
      </c>
      <c r="Y150" s="118">
        <v>1000</v>
      </c>
      <c r="AA150" s="118">
        <v>0</v>
      </c>
      <c r="AB150" s="185">
        <f t="shared" si="550"/>
        <v>-1000</v>
      </c>
      <c r="AC150" s="187">
        <f t="shared" si="551"/>
        <v>-1000</v>
      </c>
      <c r="AD150" s="187"/>
      <c r="AE150" s="118">
        <v>0</v>
      </c>
      <c r="AF150" s="182"/>
      <c r="AH150" s="15">
        <v>0</v>
      </c>
      <c r="AX150" s="15"/>
      <c r="BD150" s="15"/>
      <c r="BG150" s="15"/>
      <c r="DE150" s="15"/>
      <c r="DH150" s="15"/>
      <c r="DK150" s="15"/>
      <c r="DN150" s="15"/>
      <c r="DQ150" s="15"/>
      <c r="DT150" s="15"/>
      <c r="DW150" s="15"/>
      <c r="DZ150" s="15"/>
      <c r="EC150" s="15"/>
      <c r="EF150" s="15"/>
      <c r="EK150" s="15"/>
      <c r="EM150" s="15"/>
      <c r="EP150" s="15"/>
      <c r="ES150" s="15"/>
      <c r="GB150" s="15"/>
      <c r="GE150" s="15"/>
      <c r="GH150" s="15"/>
      <c r="GK150" s="15"/>
      <c r="GN150" s="15"/>
      <c r="GQ150" s="15"/>
      <c r="GT150" s="15"/>
      <c r="GW150" s="15"/>
      <c r="GZ150" s="15"/>
    </row>
    <row r="151" spans="1:214" outlineLevel="1">
      <c r="A151" s="1" t="s">
        <v>175</v>
      </c>
      <c r="B151" s="1" t="s">
        <v>161</v>
      </c>
      <c r="C151" s="4" t="s">
        <v>162</v>
      </c>
      <c r="D151" s="43">
        <v>16500</v>
      </c>
      <c r="E151" s="34">
        <v>131.85</v>
      </c>
      <c r="F151" s="43">
        <v>26500</v>
      </c>
      <c r="G151" s="34">
        <v>82.1</v>
      </c>
      <c r="H151" s="46">
        <v>21756</v>
      </c>
      <c r="I151" s="36">
        <v>26500</v>
      </c>
      <c r="J151" s="14"/>
      <c r="K151" t="s">
        <v>332</v>
      </c>
      <c r="L151" s="118">
        <v>34000</v>
      </c>
      <c r="M151" s="17">
        <f t="shared" si="538"/>
        <v>0.28301886792452824</v>
      </c>
      <c r="N151" s="17">
        <f t="shared" si="539"/>
        <v>0.28301886792452824</v>
      </c>
      <c r="Q151" s="118">
        <v>34000</v>
      </c>
      <c r="R151" s="15">
        <v>14220</v>
      </c>
      <c r="S151" s="118">
        <v>30000</v>
      </c>
      <c r="T151" s="15">
        <f>S151-Q151</f>
        <v>-4000</v>
      </c>
      <c r="U151" s="16">
        <f t="shared" si="540"/>
        <v>-0.11764705882352944</v>
      </c>
      <c r="Y151" s="118">
        <v>33000</v>
      </c>
      <c r="AA151" s="118">
        <v>35000</v>
      </c>
      <c r="AB151" s="185">
        <f t="shared" si="550"/>
        <v>2000</v>
      </c>
      <c r="AC151" s="187">
        <f t="shared" ref="AC151:AC153" si="578">AA151-Y151</f>
        <v>2000</v>
      </c>
      <c r="AD151" s="187"/>
      <c r="AE151" s="118">
        <v>35000</v>
      </c>
      <c r="AF151" s="182"/>
      <c r="AH151" s="15">
        <v>33163</v>
      </c>
      <c r="AI151" s="17">
        <f t="shared" ref="AI151:AI153" si="579">AH151/AE151</f>
        <v>0.94751428571428575</v>
      </c>
      <c r="AK151" s="118">
        <v>35000</v>
      </c>
      <c r="AS151" s="15">
        <f t="shared" ref="AS151" si="580">AR151+AK151</f>
        <v>35000</v>
      </c>
      <c r="AV151" s="15">
        <f t="shared" ref="AV151" si="581">AS151+AU151</f>
        <v>35000</v>
      </c>
      <c r="AX151" s="15"/>
      <c r="AY151" s="15">
        <f t="shared" ref="AY151" si="582">AV151+AX151</f>
        <v>35000</v>
      </c>
      <c r="BB151" s="15">
        <f t="shared" ref="BB151" si="583">AY151+BA151</f>
        <v>35000</v>
      </c>
      <c r="BD151" s="15">
        <v>20000</v>
      </c>
      <c r="BE151" s="15">
        <f t="shared" ref="BE151" si="584">BB151+BD151</f>
        <v>55000</v>
      </c>
      <c r="BG151" s="15"/>
      <c r="BH151" s="15">
        <f t="shared" ref="BH151" si="585">BE151+BG151</f>
        <v>55000</v>
      </c>
      <c r="BJ151" s="15">
        <v>43196</v>
      </c>
      <c r="BK151" s="235">
        <f t="shared" ref="BK151" si="586">BJ151/BH151</f>
        <v>0.78538181818181818</v>
      </c>
      <c r="BM151" s="196">
        <f>12*(6900)</f>
        <v>82800</v>
      </c>
      <c r="BN151" s="235">
        <f t="shared" ref="BN151" si="587">BM151/BJ151</f>
        <v>1.9168441522363182</v>
      </c>
      <c r="BO151" s="235">
        <f t="shared" ref="BO151" si="588">BM151/BH151</f>
        <v>1.5054545454545454</v>
      </c>
      <c r="BQ151" s="15"/>
      <c r="BR151" s="15">
        <f t="shared" ref="BR151" si="589">BM151+BQ151</f>
        <v>82800</v>
      </c>
      <c r="BT151" s="15"/>
      <c r="BU151" s="15">
        <f>BR151+BT151</f>
        <v>82800</v>
      </c>
      <c r="BW151" s="15"/>
      <c r="BX151" s="15">
        <f>BU151+BW151</f>
        <v>82800</v>
      </c>
      <c r="BZ151" s="15"/>
      <c r="CA151" s="15">
        <f>BX151+BZ151</f>
        <v>82800</v>
      </c>
      <c r="CC151" s="15"/>
      <c r="CD151" s="15">
        <f>CA151+CC151</f>
        <v>82800</v>
      </c>
      <c r="CF151" s="15"/>
      <c r="CG151" s="15">
        <f>CD151+CF151</f>
        <v>82800</v>
      </c>
      <c r="CI151" s="15"/>
      <c r="CJ151" s="15">
        <f>CG151+CI151</f>
        <v>82800</v>
      </c>
      <c r="CM151" s="15">
        <f>CJ151+CL151</f>
        <v>82800</v>
      </c>
      <c r="CO151" s="15">
        <v>6000</v>
      </c>
      <c r="CP151" s="15">
        <f>CM151+CO151</f>
        <v>88800</v>
      </c>
      <c r="CS151" s="15">
        <f>CP151+CR151</f>
        <v>88800</v>
      </c>
      <c r="CU151" s="227">
        <v>-2800</v>
      </c>
      <c r="CV151" s="15">
        <f>CS151+CU151</f>
        <v>86000</v>
      </c>
      <c r="CX151" s="227"/>
      <c r="CY151" s="15">
        <f>CV151+CX151</f>
        <v>86000</v>
      </c>
      <c r="DA151" s="15">
        <v>85553.25</v>
      </c>
      <c r="DC151" s="15">
        <v>80000</v>
      </c>
      <c r="DE151" s="15"/>
      <c r="DF151" s="15">
        <f t="shared" ref="DF151" si="590">DC151+DE151</f>
        <v>80000</v>
      </c>
      <c r="DH151" s="15"/>
      <c r="DI151" s="15">
        <f t="shared" ref="DI151:DI153" si="591">DF151+DH151</f>
        <v>80000</v>
      </c>
      <c r="DK151" s="15"/>
      <c r="DL151" s="15">
        <f t="shared" ref="DL151:DL153" si="592">DI151+DK151</f>
        <v>80000</v>
      </c>
      <c r="DN151" s="15"/>
      <c r="DO151" s="15">
        <f t="shared" ref="DO151:DO153" si="593">DL151+DN151</f>
        <v>80000</v>
      </c>
      <c r="DQ151" s="15"/>
      <c r="DR151" s="15">
        <f t="shared" ref="DR151:DR153" si="594">DO151+DQ151</f>
        <v>80000</v>
      </c>
      <c r="DT151" s="15"/>
      <c r="DU151" s="15">
        <f t="shared" ref="DU151:DU153" si="595">DR151+DT151</f>
        <v>80000</v>
      </c>
      <c r="DW151" s="15"/>
      <c r="DX151" s="15">
        <f t="shared" ref="DX151:DX153" si="596">DU151+DW151</f>
        <v>80000</v>
      </c>
      <c r="DZ151" s="15"/>
      <c r="EA151" s="15">
        <f t="shared" ref="EA151:EA153" si="597">DX151+DZ151</f>
        <v>80000</v>
      </c>
      <c r="EC151" s="15"/>
      <c r="ED151" s="15">
        <f t="shared" ref="ED151:ED153" si="598">EA151+EC151</f>
        <v>80000</v>
      </c>
      <c r="EF151" s="227">
        <v>-15588</v>
      </c>
      <c r="EG151" s="15">
        <f t="shared" ref="EG151:EG153" si="599">ED151+EF151</f>
        <v>64412</v>
      </c>
      <c r="EI151" s="15">
        <v>56811</v>
      </c>
      <c r="EK151" s="15">
        <v>60000</v>
      </c>
      <c r="EM151" s="15"/>
      <c r="EN151" s="15">
        <f t="shared" ref="EN151:EN153" si="600">EK151+EM151</f>
        <v>60000</v>
      </c>
      <c r="EP151" s="15"/>
      <c r="EQ151" s="15">
        <f t="shared" ref="EQ151:EQ153" si="601">EN151+EP151</f>
        <v>60000</v>
      </c>
      <c r="ES151" s="15"/>
      <c r="ET151" s="15">
        <f t="shared" ref="ET151:ET153" si="602">EQ151+ES151</f>
        <v>60000</v>
      </c>
      <c r="EW151" s="15">
        <f t="shared" ref="EW151:EW153" si="603">ET151+EV151</f>
        <v>60000</v>
      </c>
      <c r="EZ151" s="15">
        <f t="shared" ref="EZ151:EZ153" si="604">EW151+EY151</f>
        <v>60000</v>
      </c>
      <c r="FC151" s="15">
        <f t="shared" ref="FC151:FC153" si="605">EZ151+FB151</f>
        <v>60000</v>
      </c>
      <c r="FF151" s="15">
        <f t="shared" ref="FF151:FF153" si="606">FC151+FE151</f>
        <v>60000</v>
      </c>
      <c r="FI151" s="15">
        <f t="shared" ref="FI151:FI153" si="607">FF151+FH151</f>
        <v>60000</v>
      </c>
      <c r="FK151" s="227">
        <v>-17000</v>
      </c>
      <c r="FL151" s="15">
        <f t="shared" ref="FL151:FL153" si="608">FI151+FK151</f>
        <v>43000</v>
      </c>
      <c r="FO151" s="15">
        <f t="shared" ref="FO151:FO153" si="609">FL151+FN151</f>
        <v>43000</v>
      </c>
      <c r="FR151" s="15">
        <v>43000</v>
      </c>
      <c r="FT151" s="15">
        <v>42447</v>
      </c>
      <c r="FV151" s="15">
        <v>45000</v>
      </c>
      <c r="FW151" s="235">
        <f t="shared" ref="FW151" si="610">FV151/FT151</f>
        <v>1.0601455933281505</v>
      </c>
      <c r="FZ151" s="15">
        <f>FV151+FY151</f>
        <v>45000</v>
      </c>
      <c r="GB151" s="15"/>
      <c r="GC151" s="15">
        <f>FZ151+GB151</f>
        <v>45000</v>
      </c>
      <c r="GE151" s="15"/>
      <c r="GF151" s="15">
        <f>GC151+GE151</f>
        <v>45000</v>
      </c>
      <c r="GH151" s="15"/>
      <c r="GI151" s="15">
        <f>GF151+GH151</f>
        <v>45000</v>
      </c>
      <c r="GK151" s="15"/>
      <c r="GL151" s="15">
        <f>GI151+GK151</f>
        <v>45000</v>
      </c>
      <c r="GN151" s="15"/>
      <c r="GO151" s="15">
        <f>GL151+GN151</f>
        <v>45000</v>
      </c>
      <c r="GQ151" s="227">
        <v>30000</v>
      </c>
      <c r="GR151" s="15">
        <f>GO151+GQ151</f>
        <v>75000</v>
      </c>
      <c r="GT151" s="15"/>
      <c r="GU151" s="15">
        <f>GR151+GT151</f>
        <v>75000</v>
      </c>
      <c r="GW151" s="15"/>
      <c r="GX151" s="15">
        <f>GU151+GW151</f>
        <v>75000</v>
      </c>
      <c r="GZ151" s="15"/>
      <c r="HA151" s="189">
        <f>GX151+GZ151</f>
        <v>75000</v>
      </c>
      <c r="HC151" s="189">
        <v>53867.65</v>
      </c>
      <c r="HE151" s="15">
        <v>55000</v>
      </c>
      <c r="HF151" s="235">
        <f>HE151/HC151</f>
        <v>1.0210209652732205</v>
      </c>
    </row>
    <row r="152" spans="1:214" outlineLevel="1">
      <c r="A152" s="1" t="s">
        <v>175</v>
      </c>
      <c r="B152" s="1" t="s">
        <v>115</v>
      </c>
      <c r="C152" s="4" t="s">
        <v>116</v>
      </c>
      <c r="D152" s="43">
        <v>10000</v>
      </c>
      <c r="E152" s="34">
        <v>6.61</v>
      </c>
      <c r="F152" s="43">
        <v>10000</v>
      </c>
      <c r="G152" s="34">
        <v>6.61</v>
      </c>
      <c r="H152" s="46">
        <v>660.66</v>
      </c>
      <c r="I152" s="36">
        <v>25000</v>
      </c>
      <c r="J152" s="14"/>
      <c r="L152" s="118">
        <v>10000</v>
      </c>
      <c r="M152" s="17">
        <f t="shared" si="538"/>
        <v>0</v>
      </c>
      <c r="N152" s="17">
        <f t="shared" si="539"/>
        <v>-0.6</v>
      </c>
      <c r="Q152" s="118">
        <v>10000</v>
      </c>
      <c r="R152" s="15">
        <v>0</v>
      </c>
      <c r="S152" s="118">
        <v>5000</v>
      </c>
      <c r="T152" s="15">
        <f>S152-Q152</f>
        <v>-5000</v>
      </c>
      <c r="U152" s="16">
        <f t="shared" si="540"/>
        <v>-0.5</v>
      </c>
      <c r="Y152" s="118">
        <v>5000</v>
      </c>
      <c r="AA152" s="118">
        <v>5000</v>
      </c>
      <c r="AB152" s="185">
        <f t="shared" si="550"/>
        <v>0</v>
      </c>
      <c r="AC152" s="187">
        <f t="shared" si="578"/>
        <v>0</v>
      </c>
      <c r="AD152" s="187"/>
      <c r="AE152" s="118">
        <v>5000</v>
      </c>
      <c r="AF152" s="182"/>
      <c r="AH152" s="15">
        <v>0</v>
      </c>
      <c r="AI152" s="17">
        <f t="shared" si="579"/>
        <v>0</v>
      </c>
      <c r="AX152" s="15"/>
      <c r="BD152" s="15"/>
      <c r="BG152" s="15"/>
      <c r="BQ152" s="227">
        <v>5000</v>
      </c>
      <c r="BR152" s="15">
        <f t="shared" ref="BR152:BR153" si="611">BM152+BQ152</f>
        <v>5000</v>
      </c>
      <c r="BT152" s="15"/>
      <c r="BU152" s="15">
        <f>BR152+BT152</f>
        <v>5000</v>
      </c>
      <c r="BW152" s="15"/>
      <c r="BX152" s="15">
        <f>BU152+BW152</f>
        <v>5000</v>
      </c>
      <c r="BZ152" s="15"/>
      <c r="CA152" s="15">
        <f>BX152+BZ152</f>
        <v>5000</v>
      </c>
      <c r="CC152" s="15"/>
      <c r="CD152" s="15">
        <f>CA152+CC152</f>
        <v>5000</v>
      </c>
      <c r="CF152" s="15"/>
      <c r="CG152" s="15">
        <f>CD152+CF152</f>
        <v>5000</v>
      </c>
      <c r="CI152" s="15"/>
      <c r="CJ152" s="15">
        <f>CG152+CI152</f>
        <v>5000</v>
      </c>
      <c r="CM152" s="15">
        <f>CJ152+CL152</f>
        <v>5000</v>
      </c>
      <c r="CP152" s="15">
        <f>CM152+CO152</f>
        <v>5000</v>
      </c>
      <c r="CS152" s="15">
        <f>CP152+CR152</f>
        <v>5000</v>
      </c>
      <c r="CU152" s="227">
        <v>-1000</v>
      </c>
      <c r="CV152" s="15">
        <f>CS152+CU152</f>
        <v>4000</v>
      </c>
      <c r="CX152" s="227"/>
      <c r="CY152" s="15">
        <f>CV152+CX152</f>
        <v>4000</v>
      </c>
      <c r="DA152" s="15">
        <v>3630</v>
      </c>
      <c r="DC152" s="15">
        <v>4000</v>
      </c>
      <c r="DE152" s="15"/>
      <c r="DF152" s="15">
        <f t="shared" ref="DF152:DF153" si="612">DC152+DE152</f>
        <v>4000</v>
      </c>
      <c r="DH152" s="15"/>
      <c r="DI152" s="15">
        <f t="shared" si="591"/>
        <v>4000</v>
      </c>
      <c r="DK152" s="15"/>
      <c r="DL152" s="15">
        <f t="shared" si="592"/>
        <v>4000</v>
      </c>
      <c r="DN152" s="15"/>
      <c r="DO152" s="15">
        <f t="shared" si="593"/>
        <v>4000</v>
      </c>
      <c r="DQ152" s="15"/>
      <c r="DR152" s="15">
        <f t="shared" si="594"/>
        <v>4000</v>
      </c>
      <c r="DT152" s="15"/>
      <c r="DU152" s="15">
        <f t="shared" si="595"/>
        <v>4000</v>
      </c>
      <c r="DW152" s="15"/>
      <c r="DX152" s="15">
        <f t="shared" si="596"/>
        <v>4000</v>
      </c>
      <c r="DZ152" s="15"/>
      <c r="EA152" s="15">
        <f t="shared" si="597"/>
        <v>4000</v>
      </c>
      <c r="EC152" s="227">
        <v>-4000</v>
      </c>
      <c r="ED152" s="15">
        <f t="shared" si="598"/>
        <v>0</v>
      </c>
      <c r="EF152" s="15"/>
      <c r="EG152" s="15">
        <f t="shared" si="599"/>
        <v>0</v>
      </c>
      <c r="EI152" s="15">
        <v>0</v>
      </c>
      <c r="EK152" s="15"/>
      <c r="EM152" s="15"/>
      <c r="EN152" s="15">
        <f t="shared" si="600"/>
        <v>0</v>
      </c>
      <c r="EP152" s="15"/>
      <c r="EQ152" s="15">
        <f t="shared" si="601"/>
        <v>0</v>
      </c>
      <c r="ES152" s="15"/>
      <c r="ET152" s="15">
        <f t="shared" si="602"/>
        <v>0</v>
      </c>
      <c r="EW152" s="15">
        <f t="shared" si="603"/>
        <v>0</v>
      </c>
      <c r="EZ152" s="15">
        <f t="shared" si="604"/>
        <v>0</v>
      </c>
      <c r="FC152" s="15">
        <f t="shared" si="605"/>
        <v>0</v>
      </c>
      <c r="FF152" s="15">
        <f t="shared" si="606"/>
        <v>0</v>
      </c>
      <c r="FI152" s="15">
        <f t="shared" si="607"/>
        <v>0</v>
      </c>
      <c r="FL152" s="15">
        <f t="shared" si="608"/>
        <v>0</v>
      </c>
      <c r="FO152" s="15">
        <f t="shared" si="609"/>
        <v>0</v>
      </c>
      <c r="FR152" s="15">
        <v>0</v>
      </c>
      <c r="FZ152" s="15">
        <f>FV152+FY152</f>
        <v>0</v>
      </c>
      <c r="GB152" s="15"/>
      <c r="GC152" s="15">
        <f>FZ152+GB152</f>
        <v>0</v>
      </c>
      <c r="GE152" s="15"/>
      <c r="GF152" s="15">
        <f>GC152+GE152</f>
        <v>0</v>
      </c>
      <c r="GH152" s="15"/>
      <c r="GI152" s="15">
        <f>GF152+GH152</f>
        <v>0</v>
      </c>
      <c r="GK152" s="15"/>
      <c r="GL152" s="15">
        <f>GI152+GK152</f>
        <v>0</v>
      </c>
      <c r="GN152" s="15"/>
      <c r="GO152" s="15">
        <f>GL152+GN152</f>
        <v>0</v>
      </c>
      <c r="GQ152" s="15"/>
      <c r="GR152" s="15">
        <f>GO152+GQ152</f>
        <v>0</v>
      </c>
      <c r="GT152" s="15"/>
      <c r="GU152" s="15">
        <f>GR152+GT152</f>
        <v>0</v>
      </c>
      <c r="GW152" s="15"/>
      <c r="GX152" s="15">
        <f>GU152+GW152</f>
        <v>0</v>
      </c>
      <c r="GZ152" s="15"/>
      <c r="HA152" s="189">
        <f>GX152+GZ152</f>
        <v>0</v>
      </c>
      <c r="HE152" s="15">
        <v>0</v>
      </c>
    </row>
    <row r="153" spans="1:214" outlineLevel="1">
      <c r="A153" s="1" t="s">
        <v>175</v>
      </c>
      <c r="B153" s="1" t="s">
        <v>117</v>
      </c>
      <c r="C153" s="4" t="s">
        <v>118</v>
      </c>
      <c r="D153" s="43">
        <v>5000</v>
      </c>
      <c r="E153" s="34">
        <v>0</v>
      </c>
      <c r="F153" s="43">
        <v>5000</v>
      </c>
      <c r="G153" s="34">
        <v>0</v>
      </c>
      <c r="H153" s="46">
        <v>0</v>
      </c>
      <c r="I153" s="36">
        <v>20301</v>
      </c>
      <c r="J153" s="14"/>
      <c r="L153" s="118">
        <v>10000</v>
      </c>
      <c r="M153" s="17">
        <f t="shared" si="538"/>
        <v>1</v>
      </c>
      <c r="N153" s="17">
        <f t="shared" si="539"/>
        <v>-0.50741342790995514</v>
      </c>
      <c r="Q153" s="118">
        <v>10000</v>
      </c>
      <c r="R153" s="15">
        <v>0</v>
      </c>
      <c r="S153" s="118">
        <v>10000</v>
      </c>
      <c r="T153" s="15">
        <f>S153-Q153</f>
        <v>0</v>
      </c>
      <c r="U153" s="16">
        <f t="shared" si="540"/>
        <v>0</v>
      </c>
      <c r="Y153" s="118">
        <v>10000</v>
      </c>
      <c r="AA153" s="118">
        <v>10000</v>
      </c>
      <c r="AB153" s="185">
        <f t="shared" si="550"/>
        <v>0</v>
      </c>
      <c r="AC153" s="187">
        <f t="shared" si="578"/>
        <v>0</v>
      </c>
      <c r="AD153" s="187"/>
      <c r="AE153" s="118">
        <v>31300</v>
      </c>
      <c r="AF153" s="182">
        <f t="shared" si="383"/>
        <v>21300</v>
      </c>
      <c r="AH153" s="15">
        <v>31258.43</v>
      </c>
      <c r="AI153" s="17">
        <f t="shared" si="579"/>
        <v>0.99867188498402559</v>
      </c>
      <c r="AK153" s="118">
        <v>40000</v>
      </c>
      <c r="AS153" s="15">
        <f t="shared" ref="AS153" si="613">AR153+AK153</f>
        <v>40000</v>
      </c>
      <c r="AV153" s="15">
        <f t="shared" ref="AV153" si="614">AS153+AU153</f>
        <v>40000</v>
      </c>
      <c r="AX153" s="15">
        <v>49297.26</v>
      </c>
      <c r="AY153" s="15">
        <f t="shared" ref="AY153" si="615">AV153+AX153</f>
        <v>89297.260000000009</v>
      </c>
      <c r="BB153" s="15">
        <f t="shared" ref="BB153" si="616">AY153+BA153</f>
        <v>89297.260000000009</v>
      </c>
      <c r="BD153" s="15">
        <v>5703</v>
      </c>
      <c r="BE153" s="15">
        <f t="shared" ref="BE153" si="617">BB153+BD153</f>
        <v>95000.260000000009</v>
      </c>
      <c r="BG153" s="15"/>
      <c r="BH153" s="15">
        <f t="shared" ref="BH153" si="618">BE153+BG153</f>
        <v>95000.260000000009</v>
      </c>
      <c r="BJ153" s="15">
        <v>55732.3</v>
      </c>
      <c r="BK153" s="235">
        <f t="shared" ref="BK153" si="619">BJ153/BH153</f>
        <v>0.58665418389381252</v>
      </c>
      <c r="BM153" s="15">
        <v>30000</v>
      </c>
      <c r="BN153" s="235">
        <f t="shared" ref="BN153" si="620">BM153/BJ153</f>
        <v>0.53828749217240268</v>
      </c>
      <c r="BO153" s="235">
        <f t="shared" ref="BO153" si="621">BM153/BH153</f>
        <v>0.31578860942064785</v>
      </c>
      <c r="BR153" s="15">
        <f t="shared" si="611"/>
        <v>30000</v>
      </c>
      <c r="BU153" s="15">
        <f>BR153+BT153</f>
        <v>30000</v>
      </c>
      <c r="BX153" s="15">
        <f>BU153+BW153</f>
        <v>30000</v>
      </c>
      <c r="CA153" s="15">
        <f>BX153+BZ153</f>
        <v>30000</v>
      </c>
      <c r="CD153" s="15">
        <f>CA153+CC153</f>
        <v>30000</v>
      </c>
      <c r="CG153" s="15">
        <f>CD153+CF153</f>
        <v>30000</v>
      </c>
      <c r="CI153" s="227">
        <v>-18000</v>
      </c>
      <c r="CJ153" s="15">
        <f>CG153+CI153</f>
        <v>12000</v>
      </c>
      <c r="CM153" s="15">
        <f>CJ153+CL153</f>
        <v>12000</v>
      </c>
      <c r="CP153" s="15">
        <f>CM153+CO153</f>
        <v>12000</v>
      </c>
      <c r="CS153" s="15">
        <f>CP153+CR153</f>
        <v>12000</v>
      </c>
      <c r="CU153" s="227">
        <v>-1500</v>
      </c>
      <c r="CV153" s="15">
        <f>CS153+CU153</f>
        <v>10500</v>
      </c>
      <c r="CX153" s="227"/>
      <c r="CY153" s="15">
        <f>CV153+CX153</f>
        <v>10500</v>
      </c>
      <c r="DA153" s="15">
        <v>10164</v>
      </c>
      <c r="DC153" s="15">
        <v>10000</v>
      </c>
      <c r="DE153" s="15"/>
      <c r="DF153" s="15">
        <f t="shared" si="612"/>
        <v>10000</v>
      </c>
      <c r="DH153" s="15"/>
      <c r="DI153" s="15">
        <f t="shared" si="591"/>
        <v>10000</v>
      </c>
      <c r="DK153" s="15"/>
      <c r="DL153" s="15">
        <f t="shared" si="592"/>
        <v>10000</v>
      </c>
      <c r="DN153" s="15"/>
      <c r="DO153" s="15">
        <f t="shared" si="593"/>
        <v>10000</v>
      </c>
      <c r="DQ153" s="227">
        <v>15000</v>
      </c>
      <c r="DR153" s="15">
        <f t="shared" si="594"/>
        <v>25000</v>
      </c>
      <c r="DT153" s="227">
        <v>5000</v>
      </c>
      <c r="DU153" s="15">
        <f t="shared" si="595"/>
        <v>30000</v>
      </c>
      <c r="DW153" s="15"/>
      <c r="DX153" s="15">
        <f t="shared" si="596"/>
        <v>30000</v>
      </c>
      <c r="DZ153" s="15"/>
      <c r="EA153" s="15">
        <f t="shared" si="597"/>
        <v>30000</v>
      </c>
      <c r="EC153" s="227">
        <v>-4000</v>
      </c>
      <c r="ED153" s="15">
        <f t="shared" si="598"/>
        <v>26000</v>
      </c>
      <c r="EF153" s="15"/>
      <c r="EG153" s="15">
        <f t="shared" si="599"/>
        <v>26000</v>
      </c>
      <c r="EI153" s="15">
        <v>25725.81</v>
      </c>
      <c r="EK153" s="15">
        <v>30000</v>
      </c>
      <c r="EM153" s="15"/>
      <c r="EN153" s="15">
        <f t="shared" si="600"/>
        <v>30000</v>
      </c>
      <c r="EP153" s="15"/>
      <c r="EQ153" s="15">
        <f t="shared" si="601"/>
        <v>30000</v>
      </c>
      <c r="ES153" s="15"/>
      <c r="ET153" s="15">
        <f t="shared" si="602"/>
        <v>30000</v>
      </c>
      <c r="EW153" s="15">
        <f t="shared" si="603"/>
        <v>30000</v>
      </c>
      <c r="EZ153" s="15">
        <f t="shared" si="604"/>
        <v>30000</v>
      </c>
      <c r="FC153" s="15">
        <f t="shared" si="605"/>
        <v>30000</v>
      </c>
      <c r="FF153" s="15">
        <f t="shared" si="606"/>
        <v>30000</v>
      </c>
      <c r="FI153" s="15">
        <f t="shared" si="607"/>
        <v>30000</v>
      </c>
      <c r="FK153" s="227">
        <v>-15000</v>
      </c>
      <c r="FL153" s="15">
        <f t="shared" si="608"/>
        <v>15000</v>
      </c>
      <c r="FO153" s="15">
        <f t="shared" si="609"/>
        <v>15000</v>
      </c>
      <c r="FR153" s="15">
        <v>15000</v>
      </c>
      <c r="FT153" s="15">
        <v>5989.5</v>
      </c>
      <c r="FV153" s="15">
        <v>15000</v>
      </c>
      <c r="FW153" s="235">
        <f t="shared" ref="FW153" si="622">FV153/FT153</f>
        <v>2.504382669671926</v>
      </c>
      <c r="FZ153" s="15">
        <f>FV153+FY153</f>
        <v>15000</v>
      </c>
      <c r="GB153" s="15"/>
      <c r="GC153" s="15">
        <f>FZ153+GB153</f>
        <v>15000</v>
      </c>
      <c r="GE153" s="15"/>
      <c r="GF153" s="15">
        <f>GC153+GE153</f>
        <v>15000</v>
      </c>
      <c r="GH153" s="15"/>
      <c r="GI153" s="15">
        <f>GF153+GH153</f>
        <v>15000</v>
      </c>
      <c r="GK153" s="15"/>
      <c r="GL153" s="15">
        <f>GI153+GK153</f>
        <v>15000</v>
      </c>
      <c r="GN153" s="15"/>
      <c r="GO153" s="15">
        <f>GL153+GN153</f>
        <v>15000</v>
      </c>
      <c r="GQ153" s="15"/>
      <c r="GR153" s="15">
        <f>GO153+GQ153</f>
        <v>15000</v>
      </c>
      <c r="GT153" s="15"/>
      <c r="GU153" s="15">
        <f>GR153+GT153</f>
        <v>15000</v>
      </c>
      <c r="GW153" s="227">
        <v>15000</v>
      </c>
      <c r="GX153" s="15">
        <f>GU153+GW153</f>
        <v>30000</v>
      </c>
      <c r="GZ153" s="227">
        <v>11200</v>
      </c>
      <c r="HA153" s="189">
        <f>GX153+GZ153</f>
        <v>41200</v>
      </c>
      <c r="HC153" s="189">
        <v>41199.29</v>
      </c>
      <c r="HE153" s="15">
        <v>30000</v>
      </c>
      <c r="HF153" s="235">
        <f>HE153/HC153</f>
        <v>0.72816788833011437</v>
      </c>
    </row>
    <row r="154" spans="1:214" ht="13.5" customHeight="1" outlineLevel="1">
      <c r="A154" s="1" t="s">
        <v>175</v>
      </c>
      <c r="B154" s="4" t="s">
        <v>46</v>
      </c>
      <c r="C154" s="4" t="s">
        <v>176</v>
      </c>
      <c r="D154" s="43">
        <v>63500</v>
      </c>
      <c r="E154" s="34">
        <v>72.95</v>
      </c>
      <c r="F154" s="43">
        <v>73500</v>
      </c>
      <c r="G154" s="34">
        <v>63.02</v>
      </c>
      <c r="H154" s="46">
        <v>46320.21</v>
      </c>
      <c r="I154" s="36"/>
      <c r="J154" s="14"/>
      <c r="Y154" s="118"/>
      <c r="AF154" s="182"/>
      <c r="AH154" s="15"/>
      <c r="AX154" s="15"/>
      <c r="BD154" s="15"/>
      <c r="BG154" s="15"/>
      <c r="DE154" s="15"/>
      <c r="DH154" s="15"/>
      <c r="DK154" s="15"/>
      <c r="DN154" s="15"/>
      <c r="DQ154" s="15"/>
      <c r="DT154" s="15"/>
      <c r="DW154" s="15"/>
      <c r="DZ154" s="15"/>
      <c r="EC154" s="15"/>
      <c r="EF154" s="15"/>
      <c r="EK154" s="15"/>
      <c r="EM154" s="15"/>
      <c r="EP154" s="15"/>
      <c r="ES154" s="15"/>
      <c r="GB154" s="15"/>
      <c r="GE154" s="15"/>
      <c r="GH154" s="15"/>
      <c r="GK154" s="15"/>
      <c r="GN154" s="15"/>
      <c r="GQ154" s="15"/>
      <c r="GT154" s="15"/>
      <c r="GW154" s="15"/>
      <c r="GZ154" s="15"/>
    </row>
    <row r="155" spans="1:214" ht="15.75" customHeight="1" thickBot="1">
      <c r="A155" s="54" t="s">
        <v>175</v>
      </c>
      <c r="B155" s="55" t="s">
        <v>316</v>
      </c>
      <c r="C155" s="283" t="s">
        <v>176</v>
      </c>
      <c r="D155" s="57">
        <f>SUM(D149:D153)</f>
        <v>63500</v>
      </c>
      <c r="E155" s="58"/>
      <c r="F155" s="57">
        <f>SUM(F149:F153)</f>
        <v>73500</v>
      </c>
      <c r="G155" s="58"/>
      <c r="H155" s="57"/>
      <c r="I155" s="57">
        <f>SUM(I149:I153)</f>
        <v>95871</v>
      </c>
      <c r="J155" s="138" t="e">
        <f>I155/$I$350</f>
        <v>#REF!</v>
      </c>
      <c r="K155" s="60"/>
      <c r="L155" s="122">
        <f>SUM(L149:L153)</f>
        <v>66000</v>
      </c>
      <c r="M155" s="61">
        <f>L155/F155-1</f>
        <v>-0.10204081632653061</v>
      </c>
      <c r="N155" s="61">
        <f>L155/I155-1</f>
        <v>-0.31157492881058924</v>
      </c>
      <c r="O155" s="17">
        <f>L155/$L$350</f>
        <v>1.5313225342240841E-2</v>
      </c>
      <c r="P155" s="17"/>
      <c r="Q155" s="122">
        <f>SUM(Q149:Q153)</f>
        <v>66000</v>
      </c>
      <c r="R155" s="122">
        <f>SUM(R149:R153)</f>
        <v>14220</v>
      </c>
      <c r="S155" s="122">
        <f>SUM(S149:S153)</f>
        <v>56000</v>
      </c>
      <c r="T155" s="122">
        <f>SUM(T149:T153)</f>
        <v>-10000</v>
      </c>
      <c r="U155" s="155">
        <f>S155/Q155-1</f>
        <v>-0.15151515151515149</v>
      </c>
      <c r="Y155" s="122">
        <f>SUM(Y149:Y153)</f>
        <v>59000</v>
      </c>
      <c r="AA155" s="122">
        <f>SUM(AA149:AA153)</f>
        <v>86000</v>
      </c>
      <c r="AB155" s="122">
        <f>SUM(AB149:AB153)</f>
        <v>27000</v>
      </c>
      <c r="AE155" s="122">
        <f>SUM(AE149:AE153)</f>
        <v>107300</v>
      </c>
      <c r="AF155" s="182"/>
      <c r="AH155" s="122">
        <f>SUM(AH149:AH153)</f>
        <v>92173.989999999991</v>
      </c>
      <c r="AI155" s="17">
        <f t="shared" ref="AI155:AI156" si="623">AH155/AE155</f>
        <v>0.85903066169617881</v>
      </c>
      <c r="AK155" s="122">
        <f>SUM(AK149:AK153)</f>
        <v>75000</v>
      </c>
      <c r="AL155" s="193">
        <f t="shared" ref="AL155:AL156" si="624">AK155/L155</f>
        <v>1.1363636363636365</v>
      </c>
      <c r="AM155" s="17">
        <f t="shared" ref="AM155:AM156" si="625">AK155/AE155</f>
        <v>0.69897483690587137</v>
      </c>
      <c r="AN155" s="17">
        <f t="shared" ref="AN155:AN156" si="626">AK155/AH155</f>
        <v>0.81367856593817856</v>
      </c>
      <c r="AS155" s="122">
        <f>SUM(AS149:AS153)</f>
        <v>75000</v>
      </c>
      <c r="AU155" s="122">
        <f>SUM(AU149:AU153)</f>
        <v>0</v>
      </c>
      <c r="AV155" s="122">
        <f>SUM(AV149:AV153)</f>
        <v>75000</v>
      </c>
      <c r="AX155" s="122">
        <f>SUM(AX149:AX153)</f>
        <v>49297.26</v>
      </c>
      <c r="AY155" s="122">
        <f>SUM(AY149:AY153)</f>
        <v>124297.26000000001</v>
      </c>
      <c r="BA155" s="122">
        <f>SUM(BA149:BA153)</f>
        <v>0</v>
      </c>
      <c r="BB155" s="122">
        <f>SUM(BB149:BB153)</f>
        <v>124297.26000000001</v>
      </c>
      <c r="BD155" s="122">
        <f>SUM(BD149:BD153)</f>
        <v>25703</v>
      </c>
      <c r="BE155" s="122">
        <f>SUM(BE149:BE153)</f>
        <v>150000.26</v>
      </c>
      <c r="BG155" s="122">
        <f>SUM(BG149:BG153)</f>
        <v>0</v>
      </c>
      <c r="BH155" s="122">
        <f>SUM(BH149:BH153)</f>
        <v>150000.26</v>
      </c>
      <c r="BJ155" s="122">
        <f>SUM(BJ149:BJ153)</f>
        <v>98928.3</v>
      </c>
      <c r="BK155" s="236">
        <f t="shared" ref="BK155:BK156" si="627">BJ155/BH155</f>
        <v>0.65952085683051476</v>
      </c>
      <c r="BM155" s="122">
        <f>SUM(BM149:BM153)</f>
        <v>112800</v>
      </c>
      <c r="BN155" s="236">
        <f t="shared" ref="BN155:BN156" si="628">BM155/BJ155</f>
        <v>1.1402197348989116</v>
      </c>
      <c r="BO155" s="236">
        <f t="shared" ref="BO155:BO156" si="629">BM155/BH155</f>
        <v>0.75199869653559259</v>
      </c>
      <c r="BQ155" s="122">
        <f>SUM(BQ149:BQ153)</f>
        <v>5000</v>
      </c>
      <c r="BR155" s="122">
        <f>SUM(BR149:BR153)</f>
        <v>117800</v>
      </c>
      <c r="BT155" s="122">
        <f>SUM(BT149:BT153)</f>
        <v>0</v>
      </c>
      <c r="BU155" s="122">
        <f>SUM(BU149:BU153)</f>
        <v>117800</v>
      </c>
      <c r="BW155" s="122">
        <f>SUM(BW149:BW153)</f>
        <v>0</v>
      </c>
      <c r="BX155" s="122">
        <f>SUM(BX149:BX153)</f>
        <v>117800</v>
      </c>
      <c r="BZ155" s="122">
        <f>SUM(BZ149:BZ153)</f>
        <v>0</v>
      </c>
      <c r="CA155" s="122">
        <f>SUM(CA149:CA153)</f>
        <v>117800</v>
      </c>
      <c r="CC155" s="122">
        <f>SUM(CC149:CC153)</f>
        <v>0</v>
      </c>
      <c r="CD155" s="122">
        <f>SUM(CD149:CD153)</f>
        <v>117800</v>
      </c>
      <c r="CF155" s="122">
        <f>SUM(CF149:CF153)</f>
        <v>0</v>
      </c>
      <c r="CG155" s="122">
        <f>SUM(CG149:CG153)</f>
        <v>117800</v>
      </c>
      <c r="CI155" s="122">
        <f>SUM(CI149:CI153)</f>
        <v>-18000</v>
      </c>
      <c r="CJ155" s="122">
        <f>SUM(CJ149:CJ153)</f>
        <v>99800</v>
      </c>
      <c r="CL155" s="319">
        <f>SUM(CL149:CL153)</f>
        <v>0</v>
      </c>
      <c r="CM155" s="122">
        <f>SUM(CM149:CM153)</f>
        <v>99800</v>
      </c>
      <c r="CO155" s="122">
        <f>SUM(CO149:CO153)</f>
        <v>6000</v>
      </c>
      <c r="CP155" s="122">
        <f>SUM(CP149:CP153)</f>
        <v>105800</v>
      </c>
      <c r="CR155" s="122">
        <f>SUM(CR149:CR153)</f>
        <v>0</v>
      </c>
      <c r="CS155" s="122">
        <f>SUM(CS149:CS153)</f>
        <v>105800</v>
      </c>
      <c r="CU155" s="122">
        <f>SUM(CU149:CU153)</f>
        <v>-5300</v>
      </c>
      <c r="CV155" s="122">
        <f>SUM(CV149:CV153)</f>
        <v>100500</v>
      </c>
      <c r="CX155" s="122">
        <f>SUM(CX149:CX153)</f>
        <v>0</v>
      </c>
      <c r="CY155" s="122">
        <f>SUM(CY149:CY153)</f>
        <v>100500</v>
      </c>
      <c r="DA155" s="122">
        <f>SUM(DA149:DA153)</f>
        <v>99347.25</v>
      </c>
      <c r="DC155" s="122">
        <f>SUM(DC149:DC153)</f>
        <v>94000</v>
      </c>
      <c r="DE155" s="122">
        <f>SUM(DE149:DE153)</f>
        <v>0</v>
      </c>
      <c r="DF155" s="122">
        <f>SUM(DF149:DF153)</f>
        <v>94000</v>
      </c>
      <c r="DH155" s="122">
        <f>SUM(DH149:DH153)</f>
        <v>0</v>
      </c>
      <c r="DI155" s="122">
        <f>SUM(DI149:DI153)</f>
        <v>94000</v>
      </c>
      <c r="DK155" s="122">
        <f>SUM(DK149:DK153)</f>
        <v>0</v>
      </c>
      <c r="DL155" s="122">
        <f>SUM(DL149:DL153)</f>
        <v>94000</v>
      </c>
      <c r="DN155" s="122">
        <f>SUM(DN149:DN153)</f>
        <v>0</v>
      </c>
      <c r="DO155" s="122">
        <f>SUM(DO149:DO153)</f>
        <v>94000</v>
      </c>
      <c r="DQ155" s="122">
        <f>SUM(DQ149:DQ153)</f>
        <v>15000</v>
      </c>
      <c r="DR155" s="122">
        <f>SUM(DR149:DR153)</f>
        <v>109000</v>
      </c>
      <c r="DT155" s="122">
        <f>SUM(DT149:DT153)</f>
        <v>5000</v>
      </c>
      <c r="DU155" s="122">
        <f>SUM(DU149:DU153)</f>
        <v>114000</v>
      </c>
      <c r="DW155" s="122">
        <f>SUM(DW149:DW153)</f>
        <v>0</v>
      </c>
      <c r="DX155" s="122">
        <f>SUM(DX149:DX153)</f>
        <v>114000</v>
      </c>
      <c r="DZ155" s="122">
        <f>SUM(DZ149:DZ153)</f>
        <v>0</v>
      </c>
      <c r="EA155" s="122">
        <f>SUM(EA149:EA153)</f>
        <v>114000</v>
      </c>
      <c r="EC155" s="122">
        <f>SUM(EC149:EC153)</f>
        <v>-8000</v>
      </c>
      <c r="ED155" s="122">
        <f>SUM(ED149:ED153)</f>
        <v>106000</v>
      </c>
      <c r="EF155" s="122">
        <f>SUM(EF149:EF153)</f>
        <v>-15588</v>
      </c>
      <c r="EG155" s="122">
        <f>SUM(EG149:EG153)</f>
        <v>90412</v>
      </c>
      <c r="EI155" s="122">
        <f>SUM(EI149:EI153)</f>
        <v>82536.81</v>
      </c>
      <c r="EK155" s="122">
        <f>SUM(EK149:EK153)</f>
        <v>90000</v>
      </c>
      <c r="EL155" s="377">
        <f>EK155/EI155-1</f>
        <v>9.0422564186815491E-2</v>
      </c>
      <c r="EM155" s="122">
        <f>SUM(EM149:EM153)</f>
        <v>0</v>
      </c>
      <c r="EN155" s="122">
        <f>SUM(EN149:EN153)</f>
        <v>90000</v>
      </c>
      <c r="EP155" s="122">
        <f>SUM(EP149:EP153)</f>
        <v>0</v>
      </c>
      <c r="EQ155" s="122">
        <f>SUM(EQ149:EQ153)</f>
        <v>90000</v>
      </c>
      <c r="ES155" s="122">
        <f>SUM(ES149:ES153)</f>
        <v>0</v>
      </c>
      <c r="ET155" s="122">
        <f>SUM(ET149:ET153)</f>
        <v>90000</v>
      </c>
      <c r="EV155" s="122">
        <f>SUM(EV149:EV153)</f>
        <v>0</v>
      </c>
      <c r="EW155" s="122">
        <f>SUM(EW149:EW153)</f>
        <v>90000</v>
      </c>
      <c r="EY155" s="122">
        <f>SUM(EY149:EY153)</f>
        <v>0</v>
      </c>
      <c r="EZ155" s="122">
        <f>SUM(EZ149:EZ153)</f>
        <v>90000</v>
      </c>
      <c r="FB155" s="122">
        <f>SUM(FB149:FB153)</f>
        <v>0</v>
      </c>
      <c r="FC155" s="122">
        <f>SUM(FC149:FC153)</f>
        <v>90000</v>
      </c>
      <c r="FE155" s="122">
        <f>SUM(FE149:FE153)</f>
        <v>0</v>
      </c>
      <c r="FF155" s="122">
        <f>SUM(FF149:FF153)</f>
        <v>90000</v>
      </c>
      <c r="FH155" s="122">
        <f>SUM(FH149:FH153)</f>
        <v>0</v>
      </c>
      <c r="FI155" s="122">
        <f>SUM(FI149:FI153)</f>
        <v>90000</v>
      </c>
      <c r="FK155" s="122">
        <f>SUM(FK149:FK153)</f>
        <v>-32000</v>
      </c>
      <c r="FL155" s="122">
        <f>SUM(FL149:FL153)</f>
        <v>58000</v>
      </c>
      <c r="FN155" s="122">
        <f>SUM(FN149:FN153)</f>
        <v>0</v>
      </c>
      <c r="FO155" s="122">
        <f>SUM(FO149:FO153)</f>
        <v>58000</v>
      </c>
      <c r="FQ155" s="122">
        <v>0</v>
      </c>
      <c r="FR155" s="122">
        <v>58000</v>
      </c>
      <c r="FT155" s="122">
        <f>SUM(FT149:FT153)</f>
        <v>48436.5</v>
      </c>
      <c r="FV155" s="122">
        <f>SUM(FV149:FV153)</f>
        <v>60000</v>
      </c>
      <c r="FW155" s="235">
        <f t="shared" ref="FW155:FW156" si="630">FV155/FT155</f>
        <v>1.2387352513084142</v>
      </c>
      <c r="FY155" s="122">
        <f>SUM(FY149:FY153)</f>
        <v>0</v>
      </c>
      <c r="FZ155" s="122">
        <f>SUM(FZ149:FZ153)</f>
        <v>60000</v>
      </c>
      <c r="GB155" s="122">
        <f>SUM(GB149:GB153)</f>
        <v>0</v>
      </c>
      <c r="GC155" s="122">
        <f>SUM(GC149:GC153)</f>
        <v>60000</v>
      </c>
      <c r="GE155" s="122">
        <f>SUM(GE149:GE153)</f>
        <v>0</v>
      </c>
      <c r="GF155" s="122">
        <f>SUM(GF149:GF153)</f>
        <v>60000</v>
      </c>
      <c r="GH155" s="122">
        <f>SUM(GH149:GH153)</f>
        <v>0</v>
      </c>
      <c r="GI155" s="122">
        <f>SUM(GI149:GI153)</f>
        <v>60000</v>
      </c>
      <c r="GK155" s="122">
        <f>SUM(GK149:GK153)</f>
        <v>0</v>
      </c>
      <c r="GL155" s="122">
        <f>SUM(GL149:GL153)</f>
        <v>60000</v>
      </c>
      <c r="GN155" s="122">
        <f>SUM(GN149:GN153)</f>
        <v>0</v>
      </c>
      <c r="GO155" s="122">
        <f>SUM(GO149:GO153)</f>
        <v>60000</v>
      </c>
      <c r="GQ155" s="122">
        <f>SUM(GQ149:GQ153)</f>
        <v>30000</v>
      </c>
      <c r="GR155" s="122">
        <f>SUM(GR149:GR153)</f>
        <v>90000</v>
      </c>
      <c r="GT155" s="122">
        <f>SUM(GT149:GT153)</f>
        <v>0</v>
      </c>
      <c r="GU155" s="122">
        <f>SUM(GU149:GU153)</f>
        <v>90000</v>
      </c>
      <c r="GW155" s="122">
        <f>SUM(GW149:GW153)</f>
        <v>15000</v>
      </c>
      <c r="GX155" s="122">
        <f>SUM(GX149:GX153)</f>
        <v>105000</v>
      </c>
      <c r="GZ155" s="122">
        <f>SUM(GZ149:GZ153)</f>
        <v>11200</v>
      </c>
      <c r="HA155" s="430">
        <f>SUM(HA149:HA153)</f>
        <v>116200</v>
      </c>
      <c r="HC155" s="122">
        <f>SUM(HC149:HC153)</f>
        <v>95066.94</v>
      </c>
      <c r="HE155" s="122">
        <f>SUM(HE149:HE153)</f>
        <v>95000</v>
      </c>
      <c r="HF155" s="235">
        <f>HE155/HC155</f>
        <v>0.9992958645771074</v>
      </c>
    </row>
    <row r="156" spans="1:214" ht="13.5" customHeight="1" thickTop="1" thickBot="1">
      <c r="A156" s="64" t="s">
        <v>175</v>
      </c>
      <c r="B156" s="65" t="s">
        <v>357</v>
      </c>
      <c r="C156" s="284" t="s">
        <v>339</v>
      </c>
      <c r="D156" s="66">
        <f>D153</f>
        <v>5000</v>
      </c>
      <c r="E156" s="67"/>
      <c r="F156" s="66">
        <f>F153</f>
        <v>5000</v>
      </c>
      <c r="G156" s="67"/>
      <c r="H156" s="66"/>
      <c r="I156" s="66">
        <f>I153</f>
        <v>20301</v>
      </c>
      <c r="J156" s="68"/>
      <c r="K156" s="69"/>
      <c r="L156" s="123">
        <f>L153</f>
        <v>10000</v>
      </c>
      <c r="M156" s="70">
        <f>L156/F156-1</f>
        <v>1</v>
      </c>
      <c r="N156" s="70">
        <f>L156/I156-1</f>
        <v>-0.50741342790995514</v>
      </c>
      <c r="Q156" s="123">
        <f>Q153</f>
        <v>10000</v>
      </c>
      <c r="R156" s="123">
        <f>R153</f>
        <v>0</v>
      </c>
      <c r="S156" s="123">
        <f>S153</f>
        <v>10000</v>
      </c>
      <c r="T156" s="123">
        <f>T153</f>
        <v>0</v>
      </c>
      <c r="U156" s="155">
        <f>S156/Q156-1</f>
        <v>0</v>
      </c>
      <c r="Y156" s="123">
        <f>Y153</f>
        <v>10000</v>
      </c>
      <c r="AA156" s="123">
        <f>AA153</f>
        <v>10000</v>
      </c>
      <c r="AB156" s="123">
        <f>AB153</f>
        <v>0</v>
      </c>
      <c r="AE156" s="123">
        <f>AE153</f>
        <v>31300</v>
      </c>
      <c r="AF156" s="182"/>
      <c r="AH156" s="123">
        <f>AH153</f>
        <v>31258.43</v>
      </c>
      <c r="AI156" s="17">
        <f t="shared" si="623"/>
        <v>0.99867188498402559</v>
      </c>
      <c r="AK156" s="123">
        <f>AK153</f>
        <v>40000</v>
      </c>
      <c r="AL156" s="193">
        <f t="shared" si="624"/>
        <v>4</v>
      </c>
      <c r="AM156" s="17">
        <f t="shared" si="625"/>
        <v>1.2779552715654952</v>
      </c>
      <c r="AN156" s="17">
        <f t="shared" si="626"/>
        <v>1.2796548003210653</v>
      </c>
      <c r="AS156" s="123">
        <f>AS153</f>
        <v>40000</v>
      </c>
      <c r="AU156" s="123">
        <f>AU153</f>
        <v>0</v>
      </c>
      <c r="AV156" s="123">
        <f>AV153</f>
        <v>40000</v>
      </c>
      <c r="AX156" s="123">
        <f>AX153</f>
        <v>49297.26</v>
      </c>
      <c r="AY156" s="123">
        <f>AY153</f>
        <v>89297.260000000009</v>
      </c>
      <c r="BA156" s="123">
        <f>BA153</f>
        <v>0</v>
      </c>
      <c r="BB156" s="123">
        <f>BB153</f>
        <v>89297.260000000009</v>
      </c>
      <c r="BD156" s="123">
        <f>BD153</f>
        <v>5703</v>
      </c>
      <c r="BE156" s="123">
        <f>BE153</f>
        <v>95000.260000000009</v>
      </c>
      <c r="BG156" s="123">
        <f>BG153</f>
        <v>0</v>
      </c>
      <c r="BH156" s="123">
        <f>BH153</f>
        <v>95000.260000000009</v>
      </c>
      <c r="BJ156" s="123">
        <f>BJ153</f>
        <v>55732.3</v>
      </c>
      <c r="BK156" s="236">
        <f t="shared" si="627"/>
        <v>0.58665418389381252</v>
      </c>
      <c r="BM156" s="123">
        <f>BM153</f>
        <v>30000</v>
      </c>
      <c r="BN156" s="236">
        <f t="shared" si="628"/>
        <v>0.53828749217240268</v>
      </c>
      <c r="BO156" s="236">
        <f t="shared" si="629"/>
        <v>0.31578860942064785</v>
      </c>
      <c r="BQ156" s="123">
        <f>BQ153</f>
        <v>0</v>
      </c>
      <c r="BR156" s="123">
        <f>BR153</f>
        <v>30000</v>
      </c>
      <c r="BT156" s="123">
        <f>BT153</f>
        <v>0</v>
      </c>
      <c r="BU156" s="123">
        <f>BU153</f>
        <v>30000</v>
      </c>
      <c r="BW156" s="123">
        <f>BW153</f>
        <v>0</v>
      </c>
      <c r="BX156" s="123">
        <f>BX153</f>
        <v>30000</v>
      </c>
      <c r="BZ156" s="123">
        <f>BZ153</f>
        <v>0</v>
      </c>
      <c r="CA156" s="123">
        <f>CA153</f>
        <v>30000</v>
      </c>
      <c r="CC156" s="123">
        <f>CC153</f>
        <v>0</v>
      </c>
      <c r="CD156" s="123">
        <f>CD153</f>
        <v>30000</v>
      </c>
      <c r="CF156" s="123">
        <f>CF153</f>
        <v>0</v>
      </c>
      <c r="CG156" s="123">
        <f>CG153</f>
        <v>30000</v>
      </c>
      <c r="CI156" s="123">
        <f>CI153</f>
        <v>-18000</v>
      </c>
      <c r="CJ156" s="123">
        <f>CJ153</f>
        <v>12000</v>
      </c>
      <c r="CL156" s="319">
        <f>CL153</f>
        <v>0</v>
      </c>
      <c r="CM156" s="123">
        <f>CM153</f>
        <v>12000</v>
      </c>
      <c r="CO156" s="123">
        <f>CO153</f>
        <v>0</v>
      </c>
      <c r="CP156" s="123">
        <f>CP153</f>
        <v>12000</v>
      </c>
      <c r="CR156" s="123">
        <f>CR153</f>
        <v>0</v>
      </c>
      <c r="CS156" s="123">
        <f>CS153</f>
        <v>12000</v>
      </c>
      <c r="CU156" s="123">
        <f>CU153</f>
        <v>-1500</v>
      </c>
      <c r="CV156" s="123">
        <f>CV153</f>
        <v>10500</v>
      </c>
      <c r="CX156" s="123">
        <f>CX153</f>
        <v>0</v>
      </c>
      <c r="CY156" s="123">
        <f>CY153</f>
        <v>10500</v>
      </c>
      <c r="DA156" s="123">
        <f>DA153</f>
        <v>10164</v>
      </c>
      <c r="DC156" s="123">
        <f>DC153</f>
        <v>10000</v>
      </c>
      <c r="DE156" s="123">
        <f>DE153</f>
        <v>0</v>
      </c>
      <c r="DF156" s="123">
        <f>DF153</f>
        <v>10000</v>
      </c>
      <c r="DH156" s="123">
        <f>DH153</f>
        <v>0</v>
      </c>
      <c r="DI156" s="123">
        <f>DI153</f>
        <v>10000</v>
      </c>
      <c r="DK156" s="123">
        <f>DK153</f>
        <v>0</v>
      </c>
      <c r="DL156" s="123">
        <f>DL153</f>
        <v>10000</v>
      </c>
      <c r="DN156" s="123">
        <f>DN153</f>
        <v>0</v>
      </c>
      <c r="DO156" s="123">
        <f>DO153</f>
        <v>10000</v>
      </c>
      <c r="DQ156" s="123">
        <f>DQ153</f>
        <v>15000</v>
      </c>
      <c r="DR156" s="123">
        <f>DR153</f>
        <v>25000</v>
      </c>
      <c r="DT156" s="123">
        <f>DT153</f>
        <v>5000</v>
      </c>
      <c r="DU156" s="123">
        <f>DU153</f>
        <v>30000</v>
      </c>
      <c r="DW156" s="123">
        <f>DW153</f>
        <v>0</v>
      </c>
      <c r="DX156" s="123">
        <f>DX153</f>
        <v>30000</v>
      </c>
      <c r="DZ156" s="123">
        <f>DZ153</f>
        <v>0</v>
      </c>
      <c r="EA156" s="123">
        <f>EA153</f>
        <v>30000</v>
      </c>
      <c r="EC156" s="123">
        <f>EC153</f>
        <v>-4000</v>
      </c>
      <c r="ED156" s="123">
        <f>ED153</f>
        <v>26000</v>
      </c>
      <c r="EF156" s="123">
        <f>EF153</f>
        <v>0</v>
      </c>
      <c r="EG156" s="123">
        <f>EG153</f>
        <v>26000</v>
      </c>
      <c r="EI156" s="123">
        <f>EI153</f>
        <v>25725.81</v>
      </c>
      <c r="EK156" s="123">
        <f>EK153</f>
        <v>30000</v>
      </c>
      <c r="EL156" s="377">
        <f>EK156/EI156-1</f>
        <v>0.16614403977950531</v>
      </c>
      <c r="EM156" s="123">
        <f>EM153</f>
        <v>0</v>
      </c>
      <c r="EN156" s="123">
        <f>EN153</f>
        <v>30000</v>
      </c>
      <c r="EP156" s="123">
        <f>EP153</f>
        <v>0</v>
      </c>
      <c r="EQ156" s="123">
        <f>EQ153</f>
        <v>30000</v>
      </c>
      <c r="ES156" s="123">
        <f>ES153</f>
        <v>0</v>
      </c>
      <c r="ET156" s="123">
        <f>ET153</f>
        <v>30000</v>
      </c>
      <c r="EV156" s="123">
        <f>EV153</f>
        <v>0</v>
      </c>
      <c r="EW156" s="123">
        <f>EW153</f>
        <v>30000</v>
      </c>
      <c r="EY156" s="123">
        <f>EY153</f>
        <v>0</v>
      </c>
      <c r="EZ156" s="123">
        <f>EZ153</f>
        <v>30000</v>
      </c>
      <c r="FB156" s="123">
        <f>FB153</f>
        <v>0</v>
      </c>
      <c r="FC156" s="123">
        <f>FC153</f>
        <v>30000</v>
      </c>
      <c r="FE156" s="123">
        <f>FE153</f>
        <v>0</v>
      </c>
      <c r="FF156" s="123">
        <f>FF153</f>
        <v>30000</v>
      </c>
      <c r="FH156" s="123">
        <f>FH153</f>
        <v>0</v>
      </c>
      <c r="FI156" s="123">
        <f>FI153</f>
        <v>30000</v>
      </c>
      <c r="FK156" s="123">
        <f>FK153</f>
        <v>-15000</v>
      </c>
      <c r="FL156" s="123">
        <f>FL153</f>
        <v>15000</v>
      </c>
      <c r="FN156" s="123">
        <f>FN153</f>
        <v>0</v>
      </c>
      <c r="FO156" s="123">
        <f>FO153</f>
        <v>15000</v>
      </c>
      <c r="FQ156" s="123">
        <v>0</v>
      </c>
      <c r="FR156" s="123">
        <v>15000</v>
      </c>
      <c r="FT156" s="123">
        <f>FT153</f>
        <v>5989.5</v>
      </c>
      <c r="FV156" s="123">
        <f>FV153</f>
        <v>15000</v>
      </c>
      <c r="FW156" s="235">
        <f t="shared" si="630"/>
        <v>2.504382669671926</v>
      </c>
      <c r="FY156" s="123">
        <f>FY153</f>
        <v>0</v>
      </c>
      <c r="FZ156" s="123">
        <f>FZ153</f>
        <v>15000</v>
      </c>
      <c r="GB156" s="123">
        <f>GB153</f>
        <v>0</v>
      </c>
      <c r="GC156" s="123">
        <f>GC153</f>
        <v>15000</v>
      </c>
      <c r="GE156" s="123">
        <f>GE153</f>
        <v>0</v>
      </c>
      <c r="GF156" s="123">
        <f>GF153</f>
        <v>15000</v>
      </c>
      <c r="GH156" s="123">
        <f>GH153</f>
        <v>0</v>
      </c>
      <c r="GI156" s="123">
        <f>GI153</f>
        <v>15000</v>
      </c>
      <c r="GK156" s="123">
        <f>GK153</f>
        <v>0</v>
      </c>
      <c r="GL156" s="123">
        <f>GL153</f>
        <v>15000</v>
      </c>
      <c r="GN156" s="123">
        <f>GN153</f>
        <v>0</v>
      </c>
      <c r="GO156" s="123">
        <f>GO153</f>
        <v>15000</v>
      </c>
      <c r="GQ156" s="123">
        <f>GQ153</f>
        <v>0</v>
      </c>
      <c r="GR156" s="123">
        <f>GR153</f>
        <v>15000</v>
      </c>
      <c r="GT156" s="123">
        <f>GT153</f>
        <v>0</v>
      </c>
      <c r="GU156" s="123">
        <f>GU153</f>
        <v>15000</v>
      </c>
      <c r="GW156" s="123">
        <f>GW153</f>
        <v>15000</v>
      </c>
      <c r="GX156" s="123">
        <f>GX153</f>
        <v>30000</v>
      </c>
      <c r="GZ156" s="123">
        <f>GZ153</f>
        <v>11200</v>
      </c>
      <c r="HA156" s="431">
        <f>HA153</f>
        <v>41200</v>
      </c>
      <c r="HC156" s="123">
        <f>HC153</f>
        <v>41199.29</v>
      </c>
      <c r="HE156" s="123">
        <f>HE153</f>
        <v>30000</v>
      </c>
      <c r="HF156" s="235">
        <f>HE156/HC156</f>
        <v>0.72816788833011437</v>
      </c>
    </row>
    <row r="157" spans="1:214" s="229" customFormat="1" ht="15" customHeight="1" outlineLevel="1" thickTop="1">
      <c r="A157" s="12">
        <v>3636</v>
      </c>
      <c r="B157">
        <v>6121</v>
      </c>
      <c r="C157" s="4" t="s">
        <v>209</v>
      </c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 s="182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 s="15">
        <v>2500</v>
      </c>
      <c r="BH157" s="15">
        <f t="shared" ref="BH157" si="631">BE157+BG157</f>
        <v>2500</v>
      </c>
      <c r="BI157"/>
      <c r="BJ157" s="15">
        <v>2420</v>
      </c>
      <c r="BK157" s="235">
        <f t="shared" ref="BK157:BK160" si="632">BJ157/BH157</f>
        <v>0.96799999999999997</v>
      </c>
      <c r="BL157" s="238"/>
      <c r="BM157" s="15">
        <v>2500</v>
      </c>
      <c r="BN157" s="235">
        <f t="shared" ref="BN157:BN164" si="633">BM157/BJ157</f>
        <v>1.0330578512396693</v>
      </c>
      <c r="BO157" s="235">
        <f t="shared" ref="BO157:BO164" si="634">BM157/BH157</f>
        <v>1</v>
      </c>
      <c r="BQ157" s="15"/>
      <c r="BR157" s="15">
        <f t="shared" ref="BR157:BR158" si="635">BM157+BQ157</f>
        <v>2500</v>
      </c>
      <c r="BT157" s="15"/>
      <c r="BU157" s="15">
        <f>BR157+BT157</f>
        <v>2500</v>
      </c>
      <c r="BW157" s="15"/>
      <c r="BX157" s="15">
        <f>BU157+BW157</f>
        <v>2500</v>
      </c>
      <c r="BZ157" s="15"/>
      <c r="CA157" s="15">
        <f>BX157+BZ157</f>
        <v>2500</v>
      </c>
      <c r="CC157" s="15"/>
      <c r="CD157" s="15">
        <f>CA157+CC157</f>
        <v>2500</v>
      </c>
      <c r="CF157" s="15"/>
      <c r="CG157" s="15">
        <f>CD157+CF157</f>
        <v>2500</v>
      </c>
      <c r="CH157"/>
      <c r="CI157" s="15"/>
      <c r="CJ157" s="15">
        <f>CG157+CI157</f>
        <v>2500</v>
      </c>
      <c r="CL157" s="15"/>
      <c r="CM157" s="15">
        <f>CJ157+CL157</f>
        <v>2500</v>
      </c>
      <c r="CO157" s="15"/>
      <c r="CP157" s="15">
        <f>CM157+CO157</f>
        <v>2500</v>
      </c>
      <c r="CR157" s="15"/>
      <c r="CS157" s="15">
        <f>CP157+CR157</f>
        <v>2500</v>
      </c>
      <c r="CU157" s="227">
        <v>-2500</v>
      </c>
      <c r="CV157" s="15">
        <f>CS157+CU157</f>
        <v>0</v>
      </c>
      <c r="CX157" s="227"/>
      <c r="CY157" s="15">
        <f>CV157+CX157</f>
        <v>0</v>
      </c>
      <c r="DA157" s="15">
        <v>0</v>
      </c>
      <c r="DC157" s="15"/>
      <c r="DE157" s="15"/>
      <c r="DF157" s="15">
        <f t="shared" ref="DF157:DF158" si="636">DC157+DE157</f>
        <v>0</v>
      </c>
      <c r="DH157" s="15"/>
      <c r="DI157" s="15">
        <f t="shared" ref="DI157:DI158" si="637">DF157+DH157</f>
        <v>0</v>
      </c>
      <c r="DK157" s="15"/>
      <c r="DL157" s="15">
        <f t="shared" ref="DL157:DL158" si="638">DI157+DK157</f>
        <v>0</v>
      </c>
      <c r="DN157" s="15"/>
      <c r="DO157" s="15">
        <f t="shared" ref="DO157:DO158" si="639">DL157+DN157</f>
        <v>0</v>
      </c>
      <c r="DQ157" s="15"/>
      <c r="DR157" s="15">
        <f t="shared" ref="DR157:DR158" si="640">DO157+DQ157</f>
        <v>0</v>
      </c>
      <c r="DT157" s="15"/>
      <c r="DU157" s="15">
        <f t="shared" ref="DU157:DU158" si="641">DR157+DT157</f>
        <v>0</v>
      </c>
      <c r="DW157" s="15"/>
      <c r="DX157" s="15">
        <f t="shared" ref="DX157:DX158" si="642">DU157+DW157</f>
        <v>0</v>
      </c>
      <c r="DZ157" s="15"/>
      <c r="EA157" s="15">
        <f t="shared" ref="EA157:EA158" si="643">DX157+DZ157</f>
        <v>0</v>
      </c>
      <c r="EC157" s="15"/>
      <c r="ED157" s="15">
        <f t="shared" ref="ED157:ED158" si="644">EA157+EC157</f>
        <v>0</v>
      </c>
      <c r="EF157" s="15"/>
      <c r="EG157" s="15">
        <f t="shared" ref="EG157:EG158" si="645">ED157+EF157</f>
        <v>0</v>
      </c>
      <c r="EI157" s="15"/>
      <c r="EK157" s="15"/>
      <c r="EM157" s="15"/>
      <c r="EN157" s="15">
        <f t="shared" ref="EN157:EN158" si="646">EK157+EM157</f>
        <v>0</v>
      </c>
      <c r="EP157" s="15"/>
      <c r="EQ157" s="15">
        <f t="shared" ref="EQ157:EQ158" si="647">EN157+EP157</f>
        <v>0</v>
      </c>
      <c r="ES157" s="15"/>
      <c r="ET157" s="15">
        <f t="shared" ref="ET157:ET158" si="648">EQ157+ES157</f>
        <v>0</v>
      </c>
      <c r="EV157" s="15"/>
      <c r="EW157" s="15">
        <f t="shared" ref="EW157:EW158" si="649">ET157+EV157</f>
        <v>0</v>
      </c>
      <c r="EY157" s="15"/>
      <c r="EZ157" s="15">
        <f t="shared" ref="EZ157:EZ158" si="650">EW157+EY157</f>
        <v>0</v>
      </c>
      <c r="FB157" s="15"/>
      <c r="FC157" s="15">
        <f t="shared" ref="FC157:FC158" si="651">EZ157+FB157</f>
        <v>0</v>
      </c>
      <c r="FE157" s="15"/>
      <c r="FF157" s="15">
        <f t="shared" ref="FF157:FF158" si="652">FC157+FE157</f>
        <v>0</v>
      </c>
      <c r="FH157" s="15"/>
      <c r="FI157" s="15">
        <f t="shared" ref="FI157:FI158" si="653">FF157+FH157</f>
        <v>0</v>
      </c>
      <c r="FK157" s="15"/>
      <c r="FL157" s="15">
        <f t="shared" ref="FL157:FL158" si="654">FI157+FK157</f>
        <v>0</v>
      </c>
      <c r="FN157" s="15"/>
      <c r="FO157" s="15">
        <f t="shared" ref="FO157:FO158" si="655">FL157+FN157</f>
        <v>0</v>
      </c>
      <c r="FQ157" s="15"/>
      <c r="FR157" s="15">
        <v>0</v>
      </c>
      <c r="FT157" s="15"/>
      <c r="FV157" s="15"/>
      <c r="FY157" s="15"/>
      <c r="FZ157" s="15">
        <f>FV157+FY157</f>
        <v>0</v>
      </c>
      <c r="GB157" s="15"/>
      <c r="GC157" s="15">
        <f>FZ157+GB157</f>
        <v>0</v>
      </c>
      <c r="GE157" s="15"/>
      <c r="GF157" s="15">
        <f>GC157+GE157</f>
        <v>0</v>
      </c>
      <c r="GH157" s="15"/>
      <c r="GI157" s="15">
        <f>GF157+GH157</f>
        <v>0</v>
      </c>
      <c r="GK157" s="15"/>
      <c r="GL157" s="15">
        <f>GI157+GK157</f>
        <v>0</v>
      </c>
      <c r="GN157" s="15"/>
      <c r="GO157" s="15">
        <f>GL157+GN157</f>
        <v>0</v>
      </c>
      <c r="GQ157" s="15"/>
      <c r="GR157" s="15">
        <f>GO157+GQ157</f>
        <v>0</v>
      </c>
      <c r="GT157" s="15"/>
      <c r="GU157" s="15">
        <f>GR157+GT157</f>
        <v>0</v>
      </c>
      <c r="GW157" s="15"/>
      <c r="GX157" s="15">
        <f>GU157+GW157</f>
        <v>0</v>
      </c>
      <c r="GZ157" s="15"/>
      <c r="HA157" s="189">
        <f>GX157+GZ157</f>
        <v>0</v>
      </c>
      <c r="HC157" s="447"/>
      <c r="HE157" s="15"/>
    </row>
    <row r="158" spans="1:214" s="229" customFormat="1" ht="15.75" customHeight="1" outlineLevel="1">
      <c r="A158" s="12">
        <v>3636</v>
      </c>
      <c r="B158" s="1" t="s">
        <v>115</v>
      </c>
      <c r="C158" s="4" t="s">
        <v>116</v>
      </c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 s="182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 s="15"/>
      <c r="BH158" s="15"/>
      <c r="BI158"/>
      <c r="BJ158" s="15"/>
      <c r="BK158" s="235"/>
      <c r="BL158" s="238"/>
      <c r="BM158" s="15">
        <v>311000</v>
      </c>
      <c r="BN158" s="235"/>
      <c r="BO158" s="235"/>
      <c r="BQ158" s="15"/>
      <c r="BR158" s="15">
        <f t="shared" si="635"/>
        <v>311000</v>
      </c>
      <c r="BT158" s="15"/>
      <c r="BU158" s="15">
        <f>BR158+BT158</f>
        <v>311000</v>
      </c>
      <c r="BW158" s="15"/>
      <c r="BX158" s="15">
        <f>BU158+BW158</f>
        <v>311000</v>
      </c>
      <c r="BZ158" s="15"/>
      <c r="CA158" s="15">
        <f>BX158+BZ158</f>
        <v>311000</v>
      </c>
      <c r="CC158" s="15"/>
      <c r="CD158" s="15">
        <f>CA158+CC158</f>
        <v>311000</v>
      </c>
      <c r="CF158" s="15"/>
      <c r="CG158" s="15">
        <f>CD158+CF158</f>
        <v>311000</v>
      </c>
      <c r="CH158"/>
      <c r="CI158" s="15"/>
      <c r="CJ158" s="15">
        <f>CG158+CI158</f>
        <v>311000</v>
      </c>
      <c r="CL158" s="15"/>
      <c r="CM158" s="15">
        <f>CJ158+CL158</f>
        <v>311000</v>
      </c>
      <c r="CO158" s="15"/>
      <c r="CP158" s="15">
        <f>CM158+CO158</f>
        <v>311000</v>
      </c>
      <c r="CR158" s="15"/>
      <c r="CS158" s="15">
        <f>CP158+CR158</f>
        <v>311000</v>
      </c>
      <c r="CU158" s="15"/>
      <c r="CV158" s="15">
        <f>CS158+CU158</f>
        <v>311000</v>
      </c>
      <c r="CX158" s="15"/>
      <c r="CY158" s="15">
        <f>CV158+CX158</f>
        <v>311000</v>
      </c>
      <c r="DA158" s="15">
        <v>205700</v>
      </c>
      <c r="DC158" s="15">
        <v>106000</v>
      </c>
      <c r="DE158" s="15"/>
      <c r="DF158" s="15">
        <f t="shared" si="636"/>
        <v>106000</v>
      </c>
      <c r="DH158" s="227">
        <v>9100</v>
      </c>
      <c r="DI158" s="15">
        <f t="shared" si="637"/>
        <v>115100</v>
      </c>
      <c r="DK158" s="15"/>
      <c r="DL158" s="15">
        <f t="shared" si="638"/>
        <v>115100</v>
      </c>
      <c r="DN158" s="15"/>
      <c r="DO158" s="15">
        <f t="shared" si="639"/>
        <v>115100</v>
      </c>
      <c r="DQ158" s="15"/>
      <c r="DR158" s="15">
        <f t="shared" si="640"/>
        <v>115100</v>
      </c>
      <c r="DT158" s="15"/>
      <c r="DU158" s="15">
        <f t="shared" si="641"/>
        <v>115100</v>
      </c>
      <c r="DW158" s="15"/>
      <c r="DX158" s="15">
        <f t="shared" si="642"/>
        <v>115100</v>
      </c>
      <c r="DZ158" s="15"/>
      <c r="EA158" s="15">
        <f t="shared" si="643"/>
        <v>115100</v>
      </c>
      <c r="EC158" s="227">
        <v>-91500</v>
      </c>
      <c r="ED158" s="15">
        <f t="shared" si="644"/>
        <v>23600</v>
      </c>
      <c r="EF158" s="15"/>
      <c r="EG158" s="15">
        <f t="shared" si="645"/>
        <v>23600</v>
      </c>
      <c r="EI158" s="15">
        <v>23595</v>
      </c>
      <c r="EK158" s="15">
        <v>105500</v>
      </c>
      <c r="EM158" s="15"/>
      <c r="EN158" s="15">
        <f t="shared" si="646"/>
        <v>105500</v>
      </c>
      <c r="EP158" s="15"/>
      <c r="EQ158" s="15">
        <f t="shared" si="647"/>
        <v>105500</v>
      </c>
      <c r="ES158" s="15"/>
      <c r="ET158" s="15">
        <f t="shared" si="648"/>
        <v>105500</v>
      </c>
      <c r="EV158" s="15"/>
      <c r="EW158" s="15">
        <f t="shared" si="649"/>
        <v>105500</v>
      </c>
      <c r="EY158" s="15"/>
      <c r="EZ158" s="15">
        <f t="shared" si="650"/>
        <v>105500</v>
      </c>
      <c r="FB158" s="15"/>
      <c r="FC158" s="15">
        <f t="shared" si="651"/>
        <v>105500</v>
      </c>
      <c r="FE158" s="15"/>
      <c r="FF158" s="15">
        <f t="shared" si="652"/>
        <v>105500</v>
      </c>
      <c r="FH158" s="15"/>
      <c r="FI158" s="15">
        <f t="shared" si="653"/>
        <v>105500</v>
      </c>
      <c r="FK158" s="227">
        <v>-230</v>
      </c>
      <c r="FL158" s="15">
        <f t="shared" si="654"/>
        <v>105270</v>
      </c>
      <c r="FN158" s="15"/>
      <c r="FO158" s="15">
        <f t="shared" si="655"/>
        <v>105270</v>
      </c>
      <c r="FQ158" s="15"/>
      <c r="FR158" s="15">
        <v>105270</v>
      </c>
      <c r="FT158" s="15">
        <v>105270</v>
      </c>
      <c r="FV158" s="227">
        <v>200000</v>
      </c>
      <c r="FW158" s="235">
        <f t="shared" ref="FW158:FW160" si="656">FV158/FT158</f>
        <v>1.8998765080269782</v>
      </c>
      <c r="FY158" s="15"/>
      <c r="FZ158" s="15">
        <f>FV158+FY158</f>
        <v>200000</v>
      </c>
      <c r="GB158" s="15"/>
      <c r="GC158" s="15">
        <f>FZ158+GB158</f>
        <v>200000</v>
      </c>
      <c r="GE158" s="15"/>
      <c r="GF158" s="15">
        <f>GC158+GE158</f>
        <v>200000</v>
      </c>
      <c r="GH158" s="15"/>
      <c r="GI158" s="15">
        <f>GF158+GH158</f>
        <v>200000</v>
      </c>
      <c r="GK158" s="15"/>
      <c r="GL158" s="15">
        <f>GI158+GK158</f>
        <v>200000</v>
      </c>
      <c r="GN158" s="15"/>
      <c r="GO158" s="15">
        <f>GL158+GN158</f>
        <v>200000</v>
      </c>
      <c r="GQ158" s="15"/>
      <c r="GR158" s="15">
        <f>GO158+GQ158</f>
        <v>200000</v>
      </c>
      <c r="GT158" s="227">
        <v>-167000</v>
      </c>
      <c r="GU158" s="15">
        <f>GR158+GT158</f>
        <v>33000</v>
      </c>
      <c r="GW158" s="15"/>
      <c r="GX158" s="15">
        <f>GU158+GW158</f>
        <v>33000</v>
      </c>
      <c r="GZ158" s="15"/>
      <c r="HA158" s="189">
        <f>GX158+GZ158</f>
        <v>33000</v>
      </c>
      <c r="HC158" s="447">
        <v>0</v>
      </c>
      <c r="HE158" s="15">
        <v>0</v>
      </c>
      <c r="HF158" s="235" t="e">
        <f>HE158/HC158</f>
        <v>#DIV/0!</v>
      </c>
    </row>
    <row r="159" spans="1:214" s="229" customFormat="1" ht="14.25" customHeight="1" thickBot="1">
      <c r="A159" s="54" t="s">
        <v>495</v>
      </c>
      <c r="B159" s="55" t="s">
        <v>316</v>
      </c>
      <c r="C159" s="283" t="s">
        <v>507</v>
      </c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28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2"/>
      <c r="BH159" s="62"/>
      <c r="BI159" s="60"/>
      <c r="BJ159" s="62"/>
      <c r="BK159" s="236"/>
      <c r="BL159" s="281"/>
      <c r="BM159" s="122">
        <f>SUM(BM158)</f>
        <v>311000</v>
      </c>
      <c r="BN159" s="236"/>
      <c r="BO159" s="236"/>
      <c r="BQ159" s="122">
        <f>SUM(BQ158)</f>
        <v>0</v>
      </c>
      <c r="BR159" s="122">
        <f>SUM(BR158)</f>
        <v>311000</v>
      </c>
      <c r="BT159" s="122">
        <f>SUM(BT158)</f>
        <v>0</v>
      </c>
      <c r="BU159" s="122">
        <f>SUM(BU158)</f>
        <v>311000</v>
      </c>
      <c r="BW159" s="122">
        <f>SUM(BW158)</f>
        <v>0</v>
      </c>
      <c r="BX159" s="122">
        <f>SUM(BX158)</f>
        <v>311000</v>
      </c>
      <c r="BZ159" s="122">
        <f>SUM(BZ158)</f>
        <v>0</v>
      </c>
      <c r="CA159" s="122">
        <f>SUM(CA158)</f>
        <v>311000</v>
      </c>
      <c r="CC159" s="122">
        <f>SUM(CC158)</f>
        <v>0</v>
      </c>
      <c r="CD159" s="122">
        <f>SUM(CD158)</f>
        <v>311000</v>
      </c>
      <c r="CF159" s="122">
        <f>SUM(CF158)</f>
        <v>0</v>
      </c>
      <c r="CG159" s="122">
        <f>SUM(CG158)</f>
        <v>311000</v>
      </c>
      <c r="CH159"/>
      <c r="CI159" s="122">
        <f>SUM(CI158)</f>
        <v>0</v>
      </c>
      <c r="CJ159" s="122">
        <f>SUM(CJ158)</f>
        <v>311000</v>
      </c>
      <c r="CL159" s="319">
        <f>SUM(CL158)</f>
        <v>0</v>
      </c>
      <c r="CM159" s="122">
        <f>SUM(CM158)</f>
        <v>311000</v>
      </c>
      <c r="CO159" s="122">
        <f>SUM(CO158)</f>
        <v>0</v>
      </c>
      <c r="CP159" s="122">
        <f>SUM(CP158)</f>
        <v>311000</v>
      </c>
      <c r="CR159" s="122">
        <f>SUM(CR158)</f>
        <v>0</v>
      </c>
      <c r="CS159" s="122">
        <f>SUM(CS158)</f>
        <v>311000</v>
      </c>
      <c r="CU159" s="122">
        <f>SUM(CU158)</f>
        <v>0</v>
      </c>
      <c r="CV159" s="122">
        <f>SUM(CV158)</f>
        <v>311000</v>
      </c>
      <c r="CX159" s="122">
        <f>SUM(CX158)</f>
        <v>0</v>
      </c>
      <c r="CY159" s="122">
        <f>SUM(CY158)</f>
        <v>311000</v>
      </c>
      <c r="DA159" s="122">
        <f>SUM(DA158)</f>
        <v>205700</v>
      </c>
      <c r="DC159" s="122">
        <f>SUM(DC158)</f>
        <v>106000</v>
      </c>
      <c r="DE159" s="122">
        <f>SUM(DE158)</f>
        <v>0</v>
      </c>
      <c r="DF159" s="122">
        <f>SUM(DF158)</f>
        <v>106000</v>
      </c>
      <c r="DH159" s="122">
        <f>SUM(DH158)</f>
        <v>9100</v>
      </c>
      <c r="DI159" s="122">
        <f>SUM(DI158)</f>
        <v>115100</v>
      </c>
      <c r="DK159" s="122">
        <f>SUM(DK158)</f>
        <v>0</v>
      </c>
      <c r="DL159" s="122">
        <f>SUM(DL158)</f>
        <v>115100</v>
      </c>
      <c r="DN159" s="122">
        <f>SUM(DN158)</f>
        <v>0</v>
      </c>
      <c r="DO159" s="122">
        <f>SUM(DO158)</f>
        <v>115100</v>
      </c>
      <c r="DQ159" s="122">
        <f>SUM(DQ158)</f>
        <v>0</v>
      </c>
      <c r="DR159" s="122">
        <f>SUM(DR158)</f>
        <v>115100</v>
      </c>
      <c r="DT159" s="122">
        <f>SUM(DT158)</f>
        <v>0</v>
      </c>
      <c r="DU159" s="122">
        <f>SUM(DU158)</f>
        <v>115100</v>
      </c>
      <c r="DW159" s="122">
        <f>SUM(DW158)</f>
        <v>0</v>
      </c>
      <c r="DX159" s="122">
        <f>SUM(DX158)</f>
        <v>115100</v>
      </c>
      <c r="DZ159" s="122">
        <f>SUM(DZ158)</f>
        <v>0</v>
      </c>
      <c r="EA159" s="122">
        <f>SUM(EA158)</f>
        <v>115100</v>
      </c>
      <c r="EC159" s="122">
        <f>SUM(EC158)</f>
        <v>-91500</v>
      </c>
      <c r="ED159" s="122">
        <f>SUM(ED158)</f>
        <v>23600</v>
      </c>
      <c r="EF159" s="122">
        <f>SUM(EF158)</f>
        <v>0</v>
      </c>
      <c r="EG159" s="122">
        <f>SUM(EG158)</f>
        <v>23600</v>
      </c>
      <c r="EI159" s="122">
        <f>SUM(EI158)</f>
        <v>23595</v>
      </c>
      <c r="EK159" s="122">
        <f>SUM(EK158)</f>
        <v>105500</v>
      </c>
      <c r="EL159" s="377">
        <f>EK159/EI159-1</f>
        <v>3.4712862894681074</v>
      </c>
      <c r="EM159" s="122">
        <f>SUM(EM158)</f>
        <v>0</v>
      </c>
      <c r="EN159" s="122">
        <f>SUM(EN158)</f>
        <v>105500</v>
      </c>
      <c r="EP159" s="122">
        <f>SUM(EP158)</f>
        <v>0</v>
      </c>
      <c r="EQ159" s="122">
        <f>SUM(EQ158)</f>
        <v>105500</v>
      </c>
      <c r="ES159" s="122">
        <f>SUM(ES158)</f>
        <v>0</v>
      </c>
      <c r="ET159" s="122">
        <f>SUM(ET158)</f>
        <v>105500</v>
      </c>
      <c r="EV159" s="122">
        <f>SUM(EV158)</f>
        <v>0</v>
      </c>
      <c r="EW159" s="122">
        <f>SUM(EW158)</f>
        <v>105500</v>
      </c>
      <c r="EY159" s="122">
        <f>SUM(EY158)</f>
        <v>0</v>
      </c>
      <c r="EZ159" s="122">
        <f>SUM(EZ158)</f>
        <v>105500</v>
      </c>
      <c r="FB159" s="122">
        <f>SUM(FB158)</f>
        <v>0</v>
      </c>
      <c r="FC159" s="122">
        <f>SUM(FC158)</f>
        <v>105500</v>
      </c>
      <c r="FE159" s="122">
        <f>SUM(FE158)</f>
        <v>0</v>
      </c>
      <c r="FF159" s="122">
        <f>SUM(FF158)</f>
        <v>105500</v>
      </c>
      <c r="FH159" s="122">
        <f>SUM(FH158)</f>
        <v>0</v>
      </c>
      <c r="FI159" s="122">
        <f>SUM(FI158)</f>
        <v>105500</v>
      </c>
      <c r="FK159" s="122">
        <f>SUM(FK158)</f>
        <v>-230</v>
      </c>
      <c r="FL159" s="122">
        <f>SUM(FL158)</f>
        <v>105270</v>
      </c>
      <c r="FN159" s="122">
        <f>SUM(FN158)</f>
        <v>0</v>
      </c>
      <c r="FO159" s="122">
        <f>SUM(FO158)</f>
        <v>105270</v>
      </c>
      <c r="FQ159" s="122">
        <v>0</v>
      </c>
      <c r="FR159" s="122">
        <v>105270</v>
      </c>
      <c r="FT159" s="122">
        <f>SUM(FT158)</f>
        <v>105270</v>
      </c>
      <c r="FV159" s="122">
        <f>SUM(FV158)</f>
        <v>200000</v>
      </c>
      <c r="FW159" s="235">
        <f t="shared" si="656"/>
        <v>1.8998765080269782</v>
      </c>
      <c r="FY159" s="122">
        <f>SUM(FY158)</f>
        <v>0</v>
      </c>
      <c r="FZ159" s="122">
        <f>SUM(FZ158)</f>
        <v>200000</v>
      </c>
      <c r="GB159" s="122">
        <f>SUM(GB158)</f>
        <v>0</v>
      </c>
      <c r="GC159" s="122">
        <f>SUM(GC158)</f>
        <v>200000</v>
      </c>
      <c r="GE159" s="122">
        <f>SUM(GE158)</f>
        <v>0</v>
      </c>
      <c r="GF159" s="122">
        <f>SUM(GF158)</f>
        <v>200000</v>
      </c>
      <c r="GH159" s="122">
        <f>SUM(GH158)</f>
        <v>0</v>
      </c>
      <c r="GI159" s="122">
        <f>SUM(GI158)</f>
        <v>200000</v>
      </c>
      <c r="GK159" s="122">
        <f>SUM(GK158)</f>
        <v>0</v>
      </c>
      <c r="GL159" s="122">
        <f>SUM(GL158)</f>
        <v>200000</v>
      </c>
      <c r="GN159" s="122">
        <f>SUM(GN158)</f>
        <v>0</v>
      </c>
      <c r="GO159" s="122">
        <f>SUM(GO158)</f>
        <v>200000</v>
      </c>
      <c r="GQ159" s="122">
        <f>SUM(GQ158)</f>
        <v>0</v>
      </c>
      <c r="GR159" s="122">
        <f>SUM(GR158)</f>
        <v>200000</v>
      </c>
      <c r="GT159" s="122">
        <f>SUM(GT158)</f>
        <v>-167000</v>
      </c>
      <c r="GU159" s="122">
        <f>SUM(GU158)</f>
        <v>33000</v>
      </c>
      <c r="GW159" s="122">
        <f>SUM(GW158)</f>
        <v>0</v>
      </c>
      <c r="GX159" s="122">
        <f>SUM(GX158)</f>
        <v>33000</v>
      </c>
      <c r="GZ159" s="122">
        <f>SUM(GZ158)</f>
        <v>0</v>
      </c>
      <c r="HA159" s="430">
        <f>SUM(HA158)</f>
        <v>33000</v>
      </c>
      <c r="HC159" s="122">
        <f>SUM(HC158)</f>
        <v>0</v>
      </c>
      <c r="HE159" s="122">
        <f>SUM(HE158)</f>
        <v>0</v>
      </c>
      <c r="HF159" s="235" t="e">
        <f>HE159/HC159</f>
        <v>#DIV/0!</v>
      </c>
    </row>
    <row r="160" spans="1:214" s="229" customFormat="1" ht="15.75" customHeight="1" thickTop="1" thickBot="1">
      <c r="A160" s="275" t="s">
        <v>495</v>
      </c>
      <c r="B160" s="276" t="s">
        <v>277</v>
      </c>
      <c r="C160" s="286" t="s">
        <v>507</v>
      </c>
      <c r="D160"/>
      <c r="E160"/>
      <c r="F160"/>
      <c r="G160"/>
      <c r="H160"/>
      <c r="I160"/>
      <c r="J160"/>
      <c r="K160"/>
      <c r="L160" s="277">
        <f>L157</f>
        <v>0</v>
      </c>
      <c r="M160" s="278" t="e">
        <f t="shared" ref="M160" si="657">L160/F160-1</f>
        <v>#DIV/0!</v>
      </c>
      <c r="N160" s="278" t="e">
        <f t="shared" ref="N160" si="658">L160/I160-1</f>
        <v>#DIV/0!</v>
      </c>
      <c r="O160"/>
      <c r="P160"/>
      <c r="Q160" s="277">
        <f t="shared" ref="Q160:T160" si="659">Q154</f>
        <v>0</v>
      </c>
      <c r="R160" s="277">
        <f t="shared" si="659"/>
        <v>0</v>
      </c>
      <c r="S160" s="277">
        <f t="shared" si="659"/>
        <v>0</v>
      </c>
      <c r="T160" s="277">
        <f t="shared" si="659"/>
        <v>0</v>
      </c>
      <c r="U160" s="156" t="e">
        <f t="shared" ref="U160" si="660">S160/Q160-1</f>
        <v>#DIV/0!</v>
      </c>
      <c r="V160" s="140"/>
      <c r="W160"/>
      <c r="X160"/>
      <c r="Y160" s="277">
        <f>Y154</f>
        <v>0</v>
      </c>
      <c r="Z160"/>
      <c r="AA160" s="277">
        <f>AA154</f>
        <v>0</v>
      </c>
      <c r="AB160" s="277">
        <f>AB154</f>
        <v>0</v>
      </c>
      <c r="AC160" s="188"/>
      <c r="AD160" s="188"/>
      <c r="AE160" s="277">
        <f t="shared" ref="AE160:BH160" si="661">AE157</f>
        <v>0</v>
      </c>
      <c r="AF160" s="182"/>
      <c r="AG160" s="277">
        <f t="shared" si="661"/>
        <v>0</v>
      </c>
      <c r="AH160" s="277">
        <f t="shared" si="661"/>
        <v>0</v>
      </c>
      <c r="AI160"/>
      <c r="AJ160"/>
      <c r="AK160" s="277">
        <f t="shared" si="661"/>
        <v>0</v>
      </c>
      <c r="AL160" s="277">
        <f t="shared" si="661"/>
        <v>0</v>
      </c>
      <c r="AM160" s="277">
        <f t="shared" si="661"/>
        <v>0</v>
      </c>
      <c r="AN160" s="277">
        <f t="shared" si="661"/>
        <v>0</v>
      </c>
      <c r="AO160" s="277">
        <f t="shared" si="661"/>
        <v>0</v>
      </c>
      <c r="AP160" s="277">
        <f t="shared" si="661"/>
        <v>0</v>
      </c>
      <c r="AQ160" s="277">
        <f t="shared" si="661"/>
        <v>0</v>
      </c>
      <c r="AR160" s="277">
        <f t="shared" si="661"/>
        <v>0</v>
      </c>
      <c r="AS160" s="277">
        <f t="shared" si="661"/>
        <v>0</v>
      </c>
      <c r="AT160" s="277">
        <f t="shared" si="661"/>
        <v>0</v>
      </c>
      <c r="AU160" s="277">
        <f t="shared" si="661"/>
        <v>0</v>
      </c>
      <c r="AV160" s="277">
        <f t="shared" si="661"/>
        <v>0</v>
      </c>
      <c r="AW160" s="277">
        <f t="shared" si="661"/>
        <v>0</v>
      </c>
      <c r="AX160" s="277">
        <f t="shared" si="661"/>
        <v>0</v>
      </c>
      <c r="AY160" s="277">
        <f t="shared" si="661"/>
        <v>0</v>
      </c>
      <c r="AZ160"/>
      <c r="BA160" s="277">
        <f t="shared" si="661"/>
        <v>0</v>
      </c>
      <c r="BB160" s="277">
        <f t="shared" si="661"/>
        <v>0</v>
      </c>
      <c r="BC160"/>
      <c r="BD160" s="277">
        <f t="shared" si="661"/>
        <v>0</v>
      </c>
      <c r="BE160" s="277">
        <f t="shared" si="661"/>
        <v>0</v>
      </c>
      <c r="BF160"/>
      <c r="BG160" s="277">
        <f t="shared" si="661"/>
        <v>2500</v>
      </c>
      <c r="BH160" s="277">
        <f t="shared" si="661"/>
        <v>2500</v>
      </c>
      <c r="BI160"/>
      <c r="BJ160" s="277">
        <f t="shared" ref="BJ160" si="662">BJ157</f>
        <v>2420</v>
      </c>
      <c r="BK160" s="279">
        <f t="shared" si="632"/>
        <v>0.96799999999999997</v>
      </c>
      <c r="BL160" s="238"/>
      <c r="BM160" s="277">
        <f t="shared" ref="BM160" si="663">BM157</f>
        <v>2500</v>
      </c>
      <c r="BN160" s="279">
        <f t="shared" si="633"/>
        <v>1.0330578512396693</v>
      </c>
      <c r="BO160" s="279">
        <f t="shared" si="634"/>
        <v>1</v>
      </c>
      <c r="BQ160" s="277">
        <f t="shared" ref="BQ160:BR160" si="664">BQ157</f>
        <v>0</v>
      </c>
      <c r="BR160" s="277">
        <f t="shared" si="664"/>
        <v>2500</v>
      </c>
      <c r="BT160" s="277">
        <f t="shared" ref="BT160:BU160" si="665">BT157</f>
        <v>0</v>
      </c>
      <c r="BU160" s="277">
        <f t="shared" si="665"/>
        <v>2500</v>
      </c>
      <c r="BW160" s="277">
        <f t="shared" ref="BW160:BX160" si="666">BW157</f>
        <v>0</v>
      </c>
      <c r="BX160" s="277">
        <f t="shared" si="666"/>
        <v>2500</v>
      </c>
      <c r="BZ160" s="277">
        <f t="shared" ref="BZ160:CA160" si="667">BZ157</f>
        <v>0</v>
      </c>
      <c r="CA160" s="277">
        <f t="shared" si="667"/>
        <v>2500</v>
      </c>
      <c r="CC160" s="277">
        <f t="shared" ref="CC160:CD160" si="668">CC157</f>
        <v>0</v>
      </c>
      <c r="CD160" s="277">
        <f t="shared" si="668"/>
        <v>2500</v>
      </c>
      <c r="CF160" s="277">
        <f t="shared" ref="CF160:CG160" si="669">CF157</f>
        <v>0</v>
      </c>
      <c r="CG160" s="277">
        <f t="shared" si="669"/>
        <v>2500</v>
      </c>
      <c r="CH160"/>
      <c r="CI160" s="277">
        <f t="shared" ref="CI160:CJ160" si="670">CI157</f>
        <v>0</v>
      </c>
      <c r="CJ160" s="277">
        <f t="shared" si="670"/>
        <v>2500</v>
      </c>
      <c r="CL160" s="320">
        <f t="shared" ref="CL160:CM160" si="671">CL157</f>
        <v>0</v>
      </c>
      <c r="CM160" s="277">
        <f t="shared" si="671"/>
        <v>2500</v>
      </c>
      <c r="CO160" s="277">
        <f t="shared" ref="CO160:CP160" si="672">CO157</f>
        <v>0</v>
      </c>
      <c r="CP160" s="277">
        <f t="shared" si="672"/>
        <v>2500</v>
      </c>
      <c r="CQ160"/>
      <c r="CR160" s="277">
        <f t="shared" ref="CR160:CS160" si="673">CR157</f>
        <v>0</v>
      </c>
      <c r="CS160" s="277">
        <f t="shared" si="673"/>
        <v>2500</v>
      </c>
      <c r="CU160" s="277">
        <f t="shared" ref="CU160:CV160" si="674">CU157</f>
        <v>-2500</v>
      </c>
      <c r="CV160" s="277">
        <f t="shared" si="674"/>
        <v>0</v>
      </c>
      <c r="CX160" s="277">
        <f t="shared" ref="CX160:CY160" si="675">CX157</f>
        <v>0</v>
      </c>
      <c r="CY160" s="277">
        <f t="shared" si="675"/>
        <v>0</v>
      </c>
      <c r="DA160" s="277">
        <f t="shared" ref="DA160:DC160" si="676">DA157</f>
        <v>0</v>
      </c>
      <c r="DC160" s="277">
        <f t="shared" si="676"/>
        <v>0</v>
      </c>
      <c r="DE160" s="277">
        <f t="shared" ref="DE160:DF160" si="677">DE157</f>
        <v>0</v>
      </c>
      <c r="DF160" s="277">
        <f t="shared" si="677"/>
        <v>0</v>
      </c>
      <c r="DH160" s="277">
        <f t="shared" ref="DH160:DI160" si="678">DH157</f>
        <v>0</v>
      </c>
      <c r="DI160" s="277">
        <f t="shared" si="678"/>
        <v>0</v>
      </c>
      <c r="DK160" s="277">
        <f t="shared" ref="DK160:DL160" si="679">DK157</f>
        <v>0</v>
      </c>
      <c r="DL160" s="277">
        <f t="shared" si="679"/>
        <v>0</v>
      </c>
      <c r="DN160" s="277">
        <f t="shared" ref="DN160:DO160" si="680">DN157</f>
        <v>0</v>
      </c>
      <c r="DO160" s="277">
        <f t="shared" si="680"/>
        <v>0</v>
      </c>
      <c r="DQ160" s="277">
        <f t="shared" ref="DQ160:DR160" si="681">DQ157</f>
        <v>0</v>
      </c>
      <c r="DR160" s="277">
        <f t="shared" si="681"/>
        <v>0</v>
      </c>
      <c r="DT160" s="277">
        <f t="shared" ref="DT160:DU160" si="682">DT157</f>
        <v>0</v>
      </c>
      <c r="DU160" s="277">
        <f t="shared" si="682"/>
        <v>0</v>
      </c>
      <c r="DW160" s="277">
        <f t="shared" ref="DW160:DX160" si="683">DW157</f>
        <v>0</v>
      </c>
      <c r="DX160" s="277">
        <f t="shared" si="683"/>
        <v>0</v>
      </c>
      <c r="DZ160" s="277">
        <f t="shared" ref="DZ160:EA160" si="684">DZ157</f>
        <v>0</v>
      </c>
      <c r="EA160" s="277">
        <f t="shared" si="684"/>
        <v>0</v>
      </c>
      <c r="EC160" s="277">
        <f t="shared" ref="EC160:ED160" si="685">EC157</f>
        <v>0</v>
      </c>
      <c r="ED160" s="277">
        <f t="shared" si="685"/>
        <v>0</v>
      </c>
      <c r="EF160" s="277">
        <f t="shared" ref="EF160:EG160" si="686">EF157</f>
        <v>0</v>
      </c>
      <c r="EG160" s="277">
        <f t="shared" si="686"/>
        <v>0</v>
      </c>
      <c r="EI160" s="277">
        <f t="shared" ref="EI160:EK160" si="687">EI157</f>
        <v>0</v>
      </c>
      <c r="EK160" s="277">
        <f t="shared" si="687"/>
        <v>0</v>
      </c>
      <c r="EM160" s="277">
        <f t="shared" ref="EM160:EN160" si="688">EM157</f>
        <v>0</v>
      </c>
      <c r="EN160" s="277">
        <f t="shared" si="688"/>
        <v>0</v>
      </c>
      <c r="EP160" s="277">
        <f t="shared" ref="EP160:EQ160" si="689">EP157</f>
        <v>0</v>
      </c>
      <c r="EQ160" s="277">
        <f t="shared" si="689"/>
        <v>0</v>
      </c>
      <c r="ES160" s="277">
        <f t="shared" ref="ES160:ET160" si="690">ES157</f>
        <v>0</v>
      </c>
      <c r="ET160" s="277">
        <f t="shared" si="690"/>
        <v>0</v>
      </c>
      <c r="EV160" s="277">
        <f t="shared" ref="EV160:EW160" si="691">EV157</f>
        <v>0</v>
      </c>
      <c r="EW160" s="277">
        <f t="shared" si="691"/>
        <v>0</v>
      </c>
      <c r="EY160" s="277">
        <f t="shared" ref="EY160:EZ160" si="692">EY157</f>
        <v>0</v>
      </c>
      <c r="EZ160" s="277">
        <f t="shared" si="692"/>
        <v>0</v>
      </c>
      <c r="FB160" s="277">
        <f t="shared" ref="FB160:FC160" si="693">FB157</f>
        <v>0</v>
      </c>
      <c r="FC160" s="277">
        <f t="shared" si="693"/>
        <v>0</v>
      </c>
      <c r="FE160" s="277">
        <f t="shared" ref="FE160:FF160" si="694">FE157</f>
        <v>0</v>
      </c>
      <c r="FF160" s="277">
        <f t="shared" si="694"/>
        <v>0</v>
      </c>
      <c r="FH160" s="277">
        <f t="shared" ref="FH160:FI160" si="695">FH157</f>
        <v>0</v>
      </c>
      <c r="FI160" s="277">
        <f t="shared" si="695"/>
        <v>0</v>
      </c>
      <c r="FK160" s="277">
        <f t="shared" ref="FK160:FL160" si="696">FK157</f>
        <v>0</v>
      </c>
      <c r="FL160" s="277">
        <f t="shared" si="696"/>
        <v>0</v>
      </c>
      <c r="FN160" s="277">
        <f t="shared" ref="FN160:FO160" si="697">FN157</f>
        <v>0</v>
      </c>
      <c r="FO160" s="277">
        <f t="shared" si="697"/>
        <v>0</v>
      </c>
      <c r="FQ160" s="277">
        <v>0</v>
      </c>
      <c r="FR160" s="277">
        <v>0</v>
      </c>
      <c r="FT160" s="277">
        <f>FT157</f>
        <v>0</v>
      </c>
      <c r="FV160" s="277">
        <f>FV157</f>
        <v>0</v>
      </c>
      <c r="FW160" s="235" t="e">
        <f t="shared" si="656"/>
        <v>#DIV/0!</v>
      </c>
      <c r="FY160" s="277">
        <f>FY157</f>
        <v>0</v>
      </c>
      <c r="FZ160" s="277">
        <f>FZ157</f>
        <v>0</v>
      </c>
      <c r="GB160" s="277">
        <f>GB157</f>
        <v>0</v>
      </c>
      <c r="GC160" s="277">
        <f>GC157</f>
        <v>0</v>
      </c>
      <c r="GE160" s="277">
        <f>GE157</f>
        <v>0</v>
      </c>
      <c r="GF160" s="277">
        <f>GF157</f>
        <v>0</v>
      </c>
      <c r="GH160" s="277">
        <f>GH157</f>
        <v>0</v>
      </c>
      <c r="GI160" s="277">
        <f>GI157</f>
        <v>0</v>
      </c>
      <c r="GK160" s="277">
        <f>GK157</f>
        <v>0</v>
      </c>
      <c r="GL160" s="277">
        <f>GL157</f>
        <v>0</v>
      </c>
      <c r="GN160" s="277">
        <f>GN157</f>
        <v>0</v>
      </c>
      <c r="GO160" s="277">
        <f>GO157</f>
        <v>0</v>
      </c>
      <c r="GQ160" s="277">
        <f>GQ157</f>
        <v>0</v>
      </c>
      <c r="GR160" s="277">
        <f>GR157</f>
        <v>0</v>
      </c>
      <c r="GT160" s="277">
        <f>GT157</f>
        <v>0</v>
      </c>
      <c r="GU160" s="277">
        <f>GU157</f>
        <v>0</v>
      </c>
      <c r="GW160" s="277">
        <f>GW157</f>
        <v>0</v>
      </c>
      <c r="GX160" s="277">
        <f>GX157</f>
        <v>0</v>
      </c>
      <c r="GZ160" s="277">
        <f>GZ157</f>
        <v>0</v>
      </c>
      <c r="HA160" s="436">
        <f>HA157</f>
        <v>0</v>
      </c>
      <c r="HC160" s="277">
        <f>HC157</f>
        <v>0</v>
      </c>
      <c r="HE160" s="277">
        <f>HE157</f>
        <v>0</v>
      </c>
      <c r="HF160" s="235" t="e">
        <f>HE160/HC160</f>
        <v>#DIV/0!</v>
      </c>
    </row>
    <row r="161" spans="1:214" ht="15.75" outlineLevel="2" thickTop="1">
      <c r="A161" s="1" t="s">
        <v>60</v>
      </c>
      <c r="B161" s="1" t="s">
        <v>115</v>
      </c>
      <c r="C161" s="4" t="s">
        <v>116</v>
      </c>
      <c r="D161" s="43">
        <v>0</v>
      </c>
      <c r="E161" s="34">
        <v>0</v>
      </c>
      <c r="F161" s="43">
        <v>30000</v>
      </c>
      <c r="G161" s="34">
        <v>0</v>
      </c>
      <c r="H161" s="46">
        <v>0</v>
      </c>
      <c r="I161" s="15">
        <v>0</v>
      </c>
      <c r="L161" s="118">
        <v>0</v>
      </c>
      <c r="M161" s="17">
        <f>L161/F161-1</f>
        <v>-1</v>
      </c>
      <c r="N161" s="17" t="e">
        <f>L161/I161-1</f>
        <v>#DIV/0!</v>
      </c>
      <c r="Y161" s="118"/>
      <c r="AF161" s="182"/>
      <c r="AH161" s="15"/>
      <c r="AX161" s="15"/>
      <c r="BD161" s="15"/>
      <c r="BG161" s="15">
        <v>116300</v>
      </c>
      <c r="BH161" s="15">
        <f t="shared" ref="BH161:BH164" si="698">BE161+BG161</f>
        <v>116300</v>
      </c>
      <c r="BJ161" s="15">
        <v>116220.5</v>
      </c>
      <c r="BK161" s="235">
        <f t="shared" ref="BK161:BK164" si="699">BJ161/BH161</f>
        <v>0.99931642304385215</v>
      </c>
      <c r="BM161" s="290">
        <v>500000</v>
      </c>
      <c r="BN161" s="235">
        <f t="shared" si="633"/>
        <v>4.302167001518665</v>
      </c>
      <c r="BO161" s="235">
        <f t="shared" si="634"/>
        <v>4.2992261392949267</v>
      </c>
      <c r="BQ161" s="227">
        <v>-45400</v>
      </c>
      <c r="BR161" s="15">
        <f t="shared" ref="BR161" si="700">BM161+BQ161</f>
        <v>454600</v>
      </c>
      <c r="BT161" s="227">
        <v>-15000</v>
      </c>
      <c r="BU161" s="15">
        <f>BR161+BT161</f>
        <v>439600</v>
      </c>
      <c r="BW161" s="227">
        <v>-211634</v>
      </c>
      <c r="BX161" s="15">
        <f>BU161+BW161</f>
        <v>227966</v>
      </c>
      <c r="BZ161" s="15"/>
      <c r="CA161" s="15">
        <f>BX161+BZ161</f>
        <v>227966</v>
      </c>
      <c r="CC161" s="15"/>
      <c r="CD161" s="15">
        <f>CA161+CC161</f>
        <v>227966</v>
      </c>
      <c r="CF161" s="15">
        <v>-66010</v>
      </c>
      <c r="CG161" s="15">
        <f>CD161+CF161</f>
        <v>161956</v>
      </c>
      <c r="CI161" s="227">
        <v>-34200</v>
      </c>
      <c r="CJ161" s="15">
        <f>CG161+CI161</f>
        <v>127756</v>
      </c>
      <c r="CM161" s="15">
        <f>CJ161+CL161</f>
        <v>127756</v>
      </c>
      <c r="CP161" s="15">
        <f>CM161+CO161</f>
        <v>127756</v>
      </c>
      <c r="CS161" s="15">
        <f>CP161+CR161</f>
        <v>127756</v>
      </c>
      <c r="CV161" s="15">
        <f>CS161+CU161</f>
        <v>127756</v>
      </c>
      <c r="CY161" s="15">
        <f>CV161+CX161</f>
        <v>127756</v>
      </c>
      <c r="DA161" s="15">
        <v>29588</v>
      </c>
      <c r="DC161" s="15">
        <v>620000</v>
      </c>
      <c r="DE161" s="15"/>
      <c r="DF161" s="15">
        <f t="shared" ref="DF161:DF164" si="701">DC161+DE161</f>
        <v>620000</v>
      </c>
      <c r="DH161" s="15"/>
      <c r="DI161" s="15">
        <f t="shared" ref="DI161:DI164" si="702">DF161+DH161</f>
        <v>620000</v>
      </c>
      <c r="DK161" s="15"/>
      <c r="DL161" s="15">
        <f t="shared" ref="DL161:DL164" si="703">DI161+DK161</f>
        <v>620000</v>
      </c>
      <c r="DN161" s="15"/>
      <c r="DO161" s="15">
        <f t="shared" ref="DO161:DO164" si="704">DL161+DN161</f>
        <v>620000</v>
      </c>
      <c r="DQ161" s="15"/>
      <c r="DR161" s="15">
        <f t="shared" ref="DR161:DR164" si="705">DO161+DQ161</f>
        <v>620000</v>
      </c>
      <c r="DT161" s="15"/>
      <c r="DU161" s="15">
        <f t="shared" ref="DU161:DU164" si="706">DR161+DT161</f>
        <v>620000</v>
      </c>
      <c r="DW161" s="227">
        <v>-620000</v>
      </c>
      <c r="DX161" s="15">
        <f t="shared" ref="DX161:DX164" si="707">DU161+DW161</f>
        <v>0</v>
      </c>
      <c r="DZ161" s="15"/>
      <c r="EA161" s="15">
        <f t="shared" ref="EA161" si="708">DX161+DZ161</f>
        <v>0</v>
      </c>
      <c r="EC161" s="15"/>
      <c r="ED161" s="15">
        <f t="shared" ref="ED161" si="709">EA161+EC161</f>
        <v>0</v>
      </c>
      <c r="EF161" s="15"/>
      <c r="EG161" s="15">
        <f t="shared" ref="EG161" si="710">ED161+EF161</f>
        <v>0</v>
      </c>
      <c r="EK161" s="15"/>
      <c r="EM161" s="15"/>
      <c r="EN161" s="15">
        <f t="shared" ref="EN161" si="711">EK161+EM161</f>
        <v>0</v>
      </c>
      <c r="EP161" s="15"/>
      <c r="EQ161" s="15">
        <f t="shared" ref="EQ161" si="712">EN161+EP161</f>
        <v>0</v>
      </c>
      <c r="ES161" s="15"/>
      <c r="ET161" s="15">
        <f t="shared" ref="ET161" si="713">EQ161+ES161</f>
        <v>0</v>
      </c>
      <c r="EW161" s="15">
        <f t="shared" ref="EW161" si="714">ET161+EV161</f>
        <v>0</v>
      </c>
      <c r="EZ161" s="15">
        <f t="shared" ref="EZ161" si="715">EW161+EY161</f>
        <v>0</v>
      </c>
      <c r="FC161" s="15">
        <f t="shared" ref="FC161" si="716">EZ161+FB161</f>
        <v>0</v>
      </c>
      <c r="FF161" s="15">
        <f t="shared" ref="FF161" si="717">FC161+FE161</f>
        <v>0</v>
      </c>
      <c r="FI161" s="15">
        <f t="shared" ref="FI161" si="718">FF161+FH161</f>
        <v>0</v>
      </c>
      <c r="FL161" s="15">
        <f t="shared" ref="FL161" si="719">FI161+FK161</f>
        <v>0</v>
      </c>
      <c r="FO161" s="15">
        <f t="shared" ref="FO161" si="720">FL161+FN161</f>
        <v>0</v>
      </c>
      <c r="FR161" s="15">
        <v>0</v>
      </c>
      <c r="FZ161" s="15">
        <f>FV161+FY161</f>
        <v>0</v>
      </c>
      <c r="GB161" s="15"/>
      <c r="GC161" s="15">
        <f>FZ161+GB161</f>
        <v>0</v>
      </c>
      <c r="GE161" s="15"/>
      <c r="GF161" s="15">
        <f>GC161+GE161</f>
        <v>0</v>
      </c>
      <c r="GH161" s="15"/>
      <c r="GI161" s="15">
        <f>GF161+GH161</f>
        <v>0</v>
      </c>
      <c r="GK161" s="15"/>
      <c r="GL161" s="15">
        <f>GI161+GK161</f>
        <v>0</v>
      </c>
      <c r="GN161" s="15"/>
      <c r="GO161" s="15">
        <f>GL161+GN161</f>
        <v>0</v>
      </c>
      <c r="GQ161" s="15"/>
      <c r="GR161" s="15">
        <f>GO161+GQ161</f>
        <v>0</v>
      </c>
      <c r="GT161" s="15"/>
      <c r="GU161" s="15">
        <f>GR161+GT161</f>
        <v>0</v>
      </c>
      <c r="GW161" s="15"/>
      <c r="GX161" s="15">
        <f>GU161+GW161</f>
        <v>0</v>
      </c>
      <c r="GZ161" s="15"/>
      <c r="HA161" s="189">
        <f>GX161+GZ161</f>
        <v>0</v>
      </c>
    </row>
    <row r="162" spans="1:214" outlineLevel="2">
      <c r="A162" s="1" t="s">
        <v>60</v>
      </c>
      <c r="B162" s="1" t="s">
        <v>305</v>
      </c>
      <c r="C162" s="4" t="s">
        <v>306</v>
      </c>
      <c r="D162" s="43">
        <v>0</v>
      </c>
      <c r="E162" s="34">
        <v>0</v>
      </c>
      <c r="F162" s="43">
        <v>0</v>
      </c>
      <c r="G162" s="34">
        <v>0</v>
      </c>
      <c r="H162" s="46">
        <v>26136</v>
      </c>
      <c r="I162" s="36">
        <v>26136</v>
      </c>
      <c r="J162" s="14"/>
      <c r="L162" s="118">
        <f>'[2]2020'!$Q$38</f>
        <v>300000</v>
      </c>
      <c r="M162" s="17" t="e">
        <f>L162/F162-1</f>
        <v>#DIV/0!</v>
      </c>
      <c r="N162" s="17">
        <f>L162/I162-1</f>
        <v>10.478420569329661</v>
      </c>
      <c r="Q162" s="118">
        <v>237000</v>
      </c>
      <c r="R162" s="15">
        <v>0</v>
      </c>
      <c r="S162" s="118">
        <v>0</v>
      </c>
      <c r="T162" s="15">
        <f>S162-Q162</f>
        <v>-237000</v>
      </c>
      <c r="U162" s="16">
        <f>S162/Q162-1</f>
        <v>-1</v>
      </c>
      <c r="V162" s="141">
        <f>L162+W162</f>
        <v>237000</v>
      </c>
      <c r="W162">
        <v>-63000</v>
      </c>
      <c r="Y162" s="118">
        <v>0</v>
      </c>
      <c r="AA162" s="118">
        <v>0</v>
      </c>
      <c r="AC162" s="187">
        <f t="shared" ref="AC162" si="721">AA162-Y162</f>
        <v>0</v>
      </c>
      <c r="AD162" s="187"/>
      <c r="AE162" s="118">
        <v>0</v>
      </c>
      <c r="AF162" s="182"/>
      <c r="AH162" s="15">
        <v>0</v>
      </c>
      <c r="AK162" s="118">
        <v>0</v>
      </c>
      <c r="AS162" s="15">
        <f t="shared" ref="AS162" si="722">AR162+AK162</f>
        <v>0</v>
      </c>
      <c r="AX162" s="15"/>
      <c r="BD162" s="15">
        <v>4000</v>
      </c>
      <c r="BE162" s="15">
        <f t="shared" ref="BE162:BE164" si="723">BB162+BD162</f>
        <v>4000</v>
      </c>
      <c r="BG162" s="15"/>
      <c r="BH162" s="15">
        <f t="shared" si="698"/>
        <v>4000</v>
      </c>
      <c r="BJ162" s="15">
        <v>3630</v>
      </c>
      <c r="BK162" s="235">
        <f t="shared" si="699"/>
        <v>0.90749999999999997</v>
      </c>
      <c r="BM162" s="15"/>
      <c r="BN162" s="235">
        <f t="shared" si="633"/>
        <v>0</v>
      </c>
      <c r="BO162" s="235">
        <f t="shared" si="634"/>
        <v>0</v>
      </c>
      <c r="BQ162" s="15"/>
      <c r="BR162" s="15"/>
      <c r="BT162" s="15"/>
      <c r="BU162" s="15"/>
      <c r="BW162" s="15"/>
      <c r="BX162" s="15"/>
      <c r="BZ162" s="15"/>
      <c r="CA162" s="15"/>
      <c r="CC162" s="15"/>
      <c r="CD162" s="15"/>
      <c r="CF162" s="15"/>
      <c r="CG162" s="15"/>
      <c r="CI162" s="15"/>
      <c r="CJ162" s="15"/>
      <c r="CM162" s="15"/>
      <c r="CP162" s="15"/>
      <c r="CS162" s="15"/>
      <c r="CV162" s="15"/>
      <c r="CY162" s="15"/>
      <c r="DE162" s="15"/>
      <c r="DF162" s="15">
        <f t="shared" si="701"/>
        <v>0</v>
      </c>
      <c r="DH162" s="15"/>
      <c r="DI162" s="15">
        <f t="shared" si="702"/>
        <v>0</v>
      </c>
      <c r="DK162" s="15"/>
      <c r="DL162" s="15">
        <f t="shared" si="703"/>
        <v>0</v>
      </c>
      <c r="DN162" s="15"/>
      <c r="DO162" s="15">
        <f t="shared" si="704"/>
        <v>0</v>
      </c>
      <c r="DQ162" s="15"/>
      <c r="DR162" s="15">
        <f t="shared" si="705"/>
        <v>0</v>
      </c>
      <c r="DT162" s="15"/>
      <c r="DU162" s="15">
        <f t="shared" si="706"/>
        <v>0</v>
      </c>
      <c r="DW162" s="15"/>
      <c r="DX162" s="15">
        <f>DU162+DW162</f>
        <v>0</v>
      </c>
      <c r="DZ162" s="15"/>
      <c r="EA162" s="15">
        <f>DX162+DZ162</f>
        <v>0</v>
      </c>
      <c r="EC162" s="15"/>
      <c r="ED162" s="15">
        <f>EA162+EC162</f>
        <v>0</v>
      </c>
      <c r="EF162" s="15"/>
      <c r="EG162" s="15">
        <f>ED162+EF162</f>
        <v>0</v>
      </c>
      <c r="EK162" s="15"/>
      <c r="EM162" s="15"/>
      <c r="EN162" s="15">
        <f>EK162+EM162</f>
        <v>0</v>
      </c>
      <c r="EP162" s="15"/>
      <c r="EQ162" s="15">
        <f>EN162+EP162</f>
        <v>0</v>
      </c>
      <c r="ES162" s="15"/>
      <c r="ET162" s="15">
        <f>EQ162+ES162</f>
        <v>0</v>
      </c>
      <c r="EW162" s="15">
        <f>ET162+EV162</f>
        <v>0</v>
      </c>
      <c r="EZ162" s="15">
        <f>EW162+EY162</f>
        <v>0</v>
      </c>
      <c r="FC162" s="15">
        <f>EZ162+FB162</f>
        <v>0</v>
      </c>
      <c r="FF162" s="15">
        <f>FC162+FE162</f>
        <v>0</v>
      </c>
      <c r="FI162" s="15">
        <f>FF162+FH162</f>
        <v>0</v>
      </c>
      <c r="FL162" s="15">
        <f>FI162+FK162</f>
        <v>0</v>
      </c>
      <c r="FO162" s="15">
        <f>FL162+FN162</f>
        <v>0</v>
      </c>
      <c r="FR162" s="15">
        <v>0</v>
      </c>
      <c r="FZ162" s="15">
        <f>FV162+FY162</f>
        <v>0</v>
      </c>
      <c r="GB162" s="15"/>
      <c r="GC162" s="15">
        <f>FZ162+GB162</f>
        <v>0</v>
      </c>
      <c r="GE162" s="15"/>
      <c r="GF162" s="15">
        <f>GC162+GE162</f>
        <v>0</v>
      </c>
      <c r="GH162" s="15"/>
      <c r="GI162" s="15">
        <f>GF162+GH162</f>
        <v>0</v>
      </c>
      <c r="GK162" s="15"/>
      <c r="GL162" s="15">
        <f>GI162+GK162</f>
        <v>0</v>
      </c>
      <c r="GN162" s="15"/>
      <c r="GO162" s="15">
        <f>GL162+GN162</f>
        <v>0</v>
      </c>
      <c r="GQ162" s="15"/>
      <c r="GR162" s="15">
        <f>GO162+GQ162</f>
        <v>0</v>
      </c>
      <c r="GT162" s="15"/>
      <c r="GU162" s="15">
        <f>GR162+GT162</f>
        <v>0</v>
      </c>
      <c r="GW162" s="15"/>
      <c r="GX162" s="15">
        <f>GU162+GW162</f>
        <v>0</v>
      </c>
      <c r="GZ162" s="15"/>
      <c r="HA162" s="189">
        <f>GX162+GZ162</f>
        <v>0</v>
      </c>
    </row>
    <row r="163" spans="1:214" outlineLevel="2">
      <c r="A163" s="1" t="s">
        <v>60</v>
      </c>
      <c r="B163" s="1" t="s">
        <v>208</v>
      </c>
      <c r="C163" s="4" t="s">
        <v>614</v>
      </c>
      <c r="D163" s="43"/>
      <c r="E163" s="34"/>
      <c r="F163" s="43"/>
      <c r="G163" s="34"/>
      <c r="H163" s="46"/>
      <c r="I163" s="36"/>
      <c r="J163" s="14"/>
      <c r="M163" s="17"/>
      <c r="N163" s="17"/>
      <c r="U163" s="16"/>
      <c r="V163" s="141"/>
      <c r="Y163" s="118"/>
      <c r="AC163" s="187"/>
      <c r="AD163" s="187"/>
      <c r="AF163" s="182"/>
      <c r="AH163" s="15"/>
      <c r="AS163" s="15"/>
      <c r="AX163" s="15"/>
      <c r="BD163" s="15"/>
      <c r="BE163" s="15"/>
      <c r="BG163" s="15"/>
      <c r="BH163" s="15"/>
      <c r="BK163" s="235"/>
      <c r="BM163" s="15"/>
      <c r="BN163" s="235"/>
      <c r="BO163" s="235"/>
      <c r="BQ163" s="15"/>
      <c r="BR163" s="15"/>
      <c r="BT163" s="15"/>
      <c r="BU163" s="15"/>
      <c r="BW163" s="15"/>
      <c r="BX163" s="15"/>
      <c r="BZ163" s="15"/>
      <c r="CA163" s="15"/>
      <c r="CC163" s="15"/>
      <c r="CD163" s="15"/>
      <c r="CF163" s="15"/>
      <c r="CG163" s="15"/>
      <c r="CI163" s="15"/>
      <c r="CJ163" s="15"/>
      <c r="CM163" s="15"/>
      <c r="CP163" s="15"/>
      <c r="CS163" s="15"/>
      <c r="CV163" s="15"/>
      <c r="CY163" s="15"/>
      <c r="DE163" s="15"/>
      <c r="DF163" s="15"/>
      <c r="DH163" s="15"/>
      <c r="DI163" s="15"/>
      <c r="DK163" s="15"/>
      <c r="DL163" s="15"/>
      <c r="DN163" s="15"/>
      <c r="DO163" s="15"/>
      <c r="DQ163" s="15"/>
      <c r="DR163" s="15"/>
      <c r="DT163" s="15"/>
      <c r="DU163" s="15"/>
      <c r="DW163" s="227">
        <v>584000</v>
      </c>
      <c r="DX163" s="15">
        <f t="shared" si="707"/>
        <v>584000</v>
      </c>
      <c r="DZ163" s="15"/>
      <c r="EA163" s="15">
        <f t="shared" ref="EA163:EA164" si="724">DX163+DZ163</f>
        <v>584000</v>
      </c>
      <c r="EC163" s="15"/>
      <c r="ED163" s="15">
        <f t="shared" ref="ED163:ED164" si="725">EA163+EC163</f>
        <v>584000</v>
      </c>
      <c r="EF163" s="227">
        <v>-200000</v>
      </c>
      <c r="EG163" s="15">
        <f t="shared" ref="EG163" si="726">ED163+EF163</f>
        <v>384000</v>
      </c>
      <c r="EI163" s="15">
        <v>84700</v>
      </c>
      <c r="EK163" s="15">
        <v>620000</v>
      </c>
      <c r="EM163" s="15"/>
      <c r="EN163" s="15">
        <f t="shared" ref="EN163:EN164" si="727">EK163+EM163</f>
        <v>620000</v>
      </c>
      <c r="EP163" s="15"/>
      <c r="EQ163" s="15">
        <f t="shared" ref="EQ163:EQ164" si="728">EN163+EP163</f>
        <v>620000</v>
      </c>
      <c r="ES163" s="15"/>
      <c r="ET163" s="15">
        <f t="shared" ref="ET163:ET164" si="729">EQ163+ES163</f>
        <v>620000</v>
      </c>
      <c r="EV163" s="227">
        <v>-120000</v>
      </c>
      <c r="EW163" s="15">
        <f t="shared" ref="EW163:EW164" si="730">ET163+EV163</f>
        <v>500000</v>
      </c>
      <c r="EZ163" s="15">
        <f t="shared" ref="EZ163:EZ164" si="731">EW163+EY163</f>
        <v>500000</v>
      </c>
      <c r="FB163" s="227">
        <v>84000</v>
      </c>
      <c r="FC163" s="15">
        <f t="shared" ref="FC163:FC164" si="732">EZ163+FB163</f>
        <v>584000</v>
      </c>
      <c r="FF163" s="15">
        <f t="shared" ref="FF163:FF164" si="733">FC163+FE163</f>
        <v>584000</v>
      </c>
      <c r="FI163" s="15">
        <f t="shared" ref="FI163:FI164" si="734">FF163+FH163</f>
        <v>584000</v>
      </c>
      <c r="FK163" s="227">
        <v>-1680</v>
      </c>
      <c r="FL163" s="15">
        <f t="shared" ref="FL163:FL164" si="735">FI163+FK163</f>
        <v>582320</v>
      </c>
      <c r="FO163" s="15">
        <f t="shared" ref="FO163:FO164" si="736">FL163+FN163</f>
        <v>582320</v>
      </c>
      <c r="FR163" s="15">
        <v>582320</v>
      </c>
      <c r="FT163" s="15">
        <v>582320</v>
      </c>
      <c r="FV163" s="15">
        <f>132300+121000</f>
        <v>253300</v>
      </c>
      <c r="FW163" s="235">
        <f t="shared" ref="FW163" si="737">FV163/FT163</f>
        <v>0.43498420112652836</v>
      </c>
      <c r="FZ163" s="15">
        <f>FV163+FY163</f>
        <v>253300</v>
      </c>
      <c r="GB163" s="15"/>
      <c r="GC163" s="15">
        <f>FZ163+GB163</f>
        <v>253300</v>
      </c>
      <c r="GE163" s="15"/>
      <c r="GF163" s="15">
        <f>GC163+GE163</f>
        <v>253300</v>
      </c>
      <c r="GH163" s="15"/>
      <c r="GI163" s="15">
        <f>GF163+GH163</f>
        <v>253300</v>
      </c>
      <c r="GK163" s="15"/>
      <c r="GL163" s="15">
        <f>GI163+GK163</f>
        <v>253300</v>
      </c>
      <c r="GN163" s="15"/>
      <c r="GO163" s="15">
        <f>GL163+GN163</f>
        <v>253300</v>
      </c>
      <c r="GQ163" s="227">
        <v>6000</v>
      </c>
      <c r="GR163" s="15">
        <f>GO163+GQ163</f>
        <v>259300</v>
      </c>
      <c r="GT163" s="15"/>
      <c r="GU163" s="15">
        <f>GR163+GT163</f>
        <v>259300</v>
      </c>
      <c r="GW163" s="15"/>
      <c r="GX163" s="15">
        <f>GU163+GW163</f>
        <v>259300</v>
      </c>
      <c r="GZ163" s="15"/>
      <c r="HA163" s="189">
        <f>GX163+GZ163</f>
        <v>259300</v>
      </c>
      <c r="HC163" s="189">
        <v>259300</v>
      </c>
      <c r="HE163" s="15">
        <v>0</v>
      </c>
      <c r="HF163" s="235">
        <f>HE163/HC163</f>
        <v>0</v>
      </c>
    </row>
    <row r="164" spans="1:214" outlineLevel="2">
      <c r="A164" s="1" t="s">
        <v>60</v>
      </c>
      <c r="B164" s="1" t="s">
        <v>402</v>
      </c>
      <c r="C164" s="4" t="s">
        <v>403</v>
      </c>
      <c r="D164" s="43"/>
      <c r="E164" s="34"/>
      <c r="F164" s="43"/>
      <c r="G164" s="34"/>
      <c r="H164" s="46"/>
      <c r="I164" s="36"/>
      <c r="J164" s="14"/>
      <c r="M164" s="17"/>
      <c r="N164" s="17"/>
      <c r="U164" s="16"/>
      <c r="V164" s="141"/>
      <c r="Y164" s="118"/>
      <c r="AC164" s="187"/>
      <c r="AD164" s="187"/>
      <c r="AF164" s="182"/>
      <c r="AH164" s="15"/>
      <c r="AS164" s="15"/>
      <c r="AX164" s="15"/>
      <c r="BA164" s="227">
        <v>33000</v>
      </c>
      <c r="BB164" s="15">
        <f t="shared" ref="BB164" si="738">AY164+BA164</f>
        <v>33000</v>
      </c>
      <c r="BD164" s="15">
        <v>60100</v>
      </c>
      <c r="BE164" s="15">
        <f t="shared" si="723"/>
        <v>93100</v>
      </c>
      <c r="BG164" s="15"/>
      <c r="BH164" s="15">
        <f t="shared" si="698"/>
        <v>93100</v>
      </c>
      <c r="BJ164" s="15">
        <v>92969</v>
      </c>
      <c r="BK164" s="235">
        <f t="shared" si="699"/>
        <v>0.99859291084854995</v>
      </c>
      <c r="BM164" s="15"/>
      <c r="BN164" s="235">
        <f t="shared" si="633"/>
        <v>0</v>
      </c>
      <c r="BO164" s="235">
        <f t="shared" si="634"/>
        <v>0</v>
      </c>
      <c r="BQ164" s="15"/>
      <c r="BR164" s="15"/>
      <c r="BT164" s="15"/>
      <c r="BU164" s="15"/>
      <c r="BW164" s="15"/>
      <c r="BX164" s="15"/>
      <c r="BZ164" s="15"/>
      <c r="CA164" s="15"/>
      <c r="CC164" s="15"/>
      <c r="CD164" s="15"/>
      <c r="CF164" s="15"/>
      <c r="CG164" s="15"/>
      <c r="CI164" s="15"/>
      <c r="CJ164" s="15"/>
      <c r="CM164" s="15"/>
      <c r="CP164" s="15"/>
      <c r="CS164" s="15"/>
      <c r="CV164" s="15"/>
      <c r="CY164" s="15"/>
      <c r="DE164" s="15"/>
      <c r="DF164" s="15">
        <f t="shared" si="701"/>
        <v>0</v>
      </c>
      <c r="DH164" s="15"/>
      <c r="DI164" s="15">
        <f t="shared" si="702"/>
        <v>0</v>
      </c>
      <c r="DK164" s="15"/>
      <c r="DL164" s="15">
        <f t="shared" si="703"/>
        <v>0</v>
      </c>
      <c r="DN164" s="15"/>
      <c r="DO164" s="15">
        <f t="shared" si="704"/>
        <v>0</v>
      </c>
      <c r="DQ164" s="15"/>
      <c r="DR164" s="15">
        <f t="shared" si="705"/>
        <v>0</v>
      </c>
      <c r="DT164" s="15"/>
      <c r="DU164" s="15">
        <f t="shared" si="706"/>
        <v>0</v>
      </c>
      <c r="DW164" s="15"/>
      <c r="DX164" s="15">
        <f t="shared" si="707"/>
        <v>0</v>
      </c>
      <c r="DZ164" s="15"/>
      <c r="EA164" s="15">
        <f t="shared" si="724"/>
        <v>0</v>
      </c>
      <c r="EC164" s="15"/>
      <c r="ED164" s="15">
        <f t="shared" si="725"/>
        <v>0</v>
      </c>
      <c r="EF164" s="15"/>
      <c r="EG164" s="15">
        <f t="shared" ref="EG164" si="739">ED164+EF164</f>
        <v>0</v>
      </c>
      <c r="EK164" s="15"/>
      <c r="EM164" s="15"/>
      <c r="EN164" s="15">
        <f t="shared" si="727"/>
        <v>0</v>
      </c>
      <c r="EP164" s="15"/>
      <c r="EQ164" s="15">
        <f t="shared" si="728"/>
        <v>0</v>
      </c>
      <c r="ES164" s="15"/>
      <c r="ET164" s="15">
        <f t="shared" si="729"/>
        <v>0</v>
      </c>
      <c r="EV164" s="227">
        <f>33600+4*12600</f>
        <v>84000</v>
      </c>
      <c r="EW164" s="15">
        <f t="shared" si="730"/>
        <v>84000</v>
      </c>
      <c r="EZ164" s="15">
        <f t="shared" si="731"/>
        <v>84000</v>
      </c>
      <c r="FB164" s="227">
        <v>-84000</v>
      </c>
      <c r="FC164" s="15">
        <f t="shared" si="732"/>
        <v>0</v>
      </c>
      <c r="FF164" s="15">
        <f t="shared" si="733"/>
        <v>0</v>
      </c>
      <c r="FI164" s="15">
        <f t="shared" si="734"/>
        <v>0</v>
      </c>
      <c r="FL164" s="15">
        <f t="shared" si="735"/>
        <v>0</v>
      </c>
      <c r="FO164" s="15">
        <f t="shared" si="736"/>
        <v>0</v>
      </c>
      <c r="FR164" s="15">
        <v>0</v>
      </c>
      <c r="FZ164" s="15">
        <f>FV164+FY164</f>
        <v>0</v>
      </c>
      <c r="GB164" s="15"/>
      <c r="GC164" s="15">
        <f>FZ164+GB164</f>
        <v>0</v>
      </c>
      <c r="GE164" s="15"/>
      <c r="GF164" s="15">
        <f>GC164+GE164</f>
        <v>0</v>
      </c>
      <c r="GH164" s="15"/>
      <c r="GI164" s="15">
        <f>GF164+GH164</f>
        <v>0</v>
      </c>
      <c r="GK164" s="15"/>
      <c r="GL164" s="15">
        <f>GI164+GK164</f>
        <v>0</v>
      </c>
      <c r="GN164" s="15"/>
      <c r="GO164" s="15">
        <f>GL164+GN164</f>
        <v>0</v>
      </c>
      <c r="GQ164" s="15"/>
      <c r="GR164" s="15">
        <f>GO164+GQ164</f>
        <v>0</v>
      </c>
      <c r="GT164" s="15"/>
      <c r="GU164" s="15">
        <f>GR164+GT164</f>
        <v>0</v>
      </c>
      <c r="GW164" s="15"/>
      <c r="GX164" s="15">
        <f>GU164+GW164</f>
        <v>0</v>
      </c>
      <c r="GZ164" s="15"/>
      <c r="HA164" s="189">
        <f>GX164+GZ164</f>
        <v>0</v>
      </c>
    </row>
    <row r="165" spans="1:214" outlineLevel="2">
      <c r="A165" s="1" t="s">
        <v>60</v>
      </c>
      <c r="B165" s="4" t="s">
        <v>46</v>
      </c>
      <c r="C165" s="4" t="s">
        <v>63</v>
      </c>
      <c r="D165" s="43">
        <v>0</v>
      </c>
      <c r="E165" s="34">
        <v>0</v>
      </c>
      <c r="F165" s="43">
        <v>30000</v>
      </c>
      <c r="G165" s="34">
        <v>87.12</v>
      </c>
      <c r="H165" s="46">
        <v>26136</v>
      </c>
      <c r="I165" s="36"/>
      <c r="J165" s="14"/>
      <c r="Y165" s="118"/>
      <c r="AF165" s="182"/>
      <c r="AH165" s="15"/>
      <c r="AX165" s="15"/>
      <c r="BD165" s="15"/>
      <c r="BG165" s="15"/>
      <c r="DE165" s="15"/>
      <c r="DH165" s="15"/>
      <c r="DK165" s="15"/>
      <c r="DN165" s="15"/>
      <c r="DQ165" s="15"/>
      <c r="DT165" s="15"/>
      <c r="DW165" s="15"/>
      <c r="DZ165" s="15"/>
      <c r="EC165" s="15"/>
      <c r="EF165" s="15"/>
      <c r="EK165" s="15"/>
      <c r="EM165" s="15"/>
      <c r="EP165" s="15"/>
      <c r="ES165" s="15"/>
      <c r="GB165" s="15"/>
      <c r="GE165" s="15"/>
      <c r="GH165" s="15"/>
      <c r="GK165" s="15"/>
      <c r="GN165" s="15"/>
      <c r="GQ165" s="15"/>
      <c r="GT165" s="15"/>
      <c r="GW165" s="15"/>
      <c r="GZ165" s="15"/>
    </row>
    <row r="166" spans="1:214" outlineLevel="2">
      <c r="A166" s="1" t="s">
        <v>64</v>
      </c>
      <c r="B166" s="4" t="s">
        <v>48</v>
      </c>
      <c r="C166" s="4" t="s">
        <v>65</v>
      </c>
      <c r="D166" s="43">
        <v>63500</v>
      </c>
      <c r="E166" s="34">
        <v>114.1</v>
      </c>
      <c r="F166" s="43">
        <v>103500</v>
      </c>
      <c r="G166" s="34">
        <v>70.010000000000005</v>
      </c>
      <c r="H166" s="46">
        <v>72456.210000000006</v>
      </c>
      <c r="I166" s="36"/>
      <c r="J166" s="14"/>
      <c r="Y166" s="118"/>
      <c r="AF166" s="182"/>
      <c r="AH166" s="15"/>
      <c r="AX166" s="15"/>
      <c r="BD166" s="15"/>
      <c r="BG166" s="15"/>
      <c r="DE166" s="15"/>
      <c r="DH166" s="15"/>
      <c r="DK166" s="15"/>
      <c r="DN166" s="15"/>
      <c r="DQ166" s="15"/>
      <c r="DT166" s="15"/>
      <c r="DW166" s="15"/>
      <c r="DZ166" s="15"/>
      <c r="EC166" s="15"/>
      <c r="EF166" s="15"/>
      <c r="EK166" s="15"/>
      <c r="EM166" s="15"/>
      <c r="EP166" s="15"/>
      <c r="ES166" s="15"/>
      <c r="GB166" s="15"/>
      <c r="GE166" s="15"/>
      <c r="GH166" s="15"/>
      <c r="GK166" s="15"/>
      <c r="GN166" s="15"/>
      <c r="GQ166" s="15"/>
      <c r="GT166" s="15"/>
      <c r="GW166" s="15"/>
      <c r="GZ166" s="15"/>
    </row>
    <row r="167" spans="1:214" ht="18" customHeight="1" thickBot="1">
      <c r="A167" s="54" t="s">
        <v>60</v>
      </c>
      <c r="B167" s="55" t="s">
        <v>316</v>
      </c>
      <c r="C167" s="283" t="s">
        <v>63</v>
      </c>
      <c r="D167" s="57">
        <f>D161</f>
        <v>0</v>
      </c>
      <c r="E167" s="58"/>
      <c r="F167" s="57">
        <f>F161</f>
        <v>30000</v>
      </c>
      <c r="G167" s="58"/>
      <c r="H167" s="57"/>
      <c r="I167" s="57">
        <f>I161</f>
        <v>0</v>
      </c>
      <c r="J167" s="59"/>
      <c r="K167" s="60"/>
      <c r="L167" s="122">
        <f>L161</f>
        <v>0</v>
      </c>
      <c r="M167" s="61">
        <f>L167/F167-1</f>
        <v>-1</v>
      </c>
      <c r="N167" s="61" t="e">
        <f>L167/I167-1</f>
        <v>#DIV/0!</v>
      </c>
      <c r="Q167" s="122">
        <f t="shared" ref="Q167:T168" si="740">Q161</f>
        <v>0</v>
      </c>
      <c r="R167" s="122">
        <f t="shared" si="740"/>
        <v>0</v>
      </c>
      <c r="S167" s="122">
        <f t="shared" si="740"/>
        <v>0</v>
      </c>
      <c r="T167" s="122">
        <f t="shared" si="740"/>
        <v>0</v>
      </c>
      <c r="U167" s="155" t="e">
        <f>S167/Q167-1</f>
        <v>#DIV/0!</v>
      </c>
      <c r="Y167" s="122">
        <f>Y161</f>
        <v>0</v>
      </c>
      <c r="AA167" s="122">
        <f>AA161</f>
        <v>0</v>
      </c>
      <c r="AB167" s="122">
        <f>AB161</f>
        <v>0</v>
      </c>
      <c r="AE167" s="122">
        <f>AE161</f>
        <v>0</v>
      </c>
      <c r="AF167" s="182"/>
      <c r="AH167" s="122">
        <f>AH161</f>
        <v>0</v>
      </c>
      <c r="AK167" s="122">
        <f>AK161</f>
        <v>0</v>
      </c>
      <c r="AL167" s="193" t="e">
        <f t="shared" ref="AL167:AL168" si="741">AK167/L167</f>
        <v>#DIV/0!</v>
      </c>
      <c r="AM167" s="17" t="e">
        <f t="shared" ref="AM167:AM168" si="742">AK167/AE167</f>
        <v>#DIV/0!</v>
      </c>
      <c r="AN167" s="17" t="e">
        <f t="shared" ref="AN167:AN168" si="743">AK167/AH167</f>
        <v>#DIV/0!</v>
      </c>
      <c r="AS167" s="122">
        <f>AS161</f>
        <v>0</v>
      </c>
      <c r="AU167" s="122">
        <f>AU161</f>
        <v>0</v>
      </c>
      <c r="AV167" s="122">
        <f>AV161</f>
        <v>0</v>
      </c>
      <c r="AX167" s="122">
        <f>AX161</f>
        <v>0</v>
      </c>
      <c r="AY167" s="122">
        <f>AY161</f>
        <v>0</v>
      </c>
      <c r="BA167" s="122">
        <f>BA161</f>
        <v>0</v>
      </c>
      <c r="BB167" s="122">
        <f>BB161</f>
        <v>0</v>
      </c>
      <c r="BD167" s="122">
        <f>BD161</f>
        <v>0</v>
      </c>
      <c r="BE167" s="122">
        <f>BE161</f>
        <v>0</v>
      </c>
      <c r="BG167" s="122">
        <f>BG161</f>
        <v>116300</v>
      </c>
      <c r="BH167" s="122">
        <f>BH161</f>
        <v>116300</v>
      </c>
      <c r="BJ167" s="122">
        <f>BJ161</f>
        <v>116220.5</v>
      </c>
      <c r="BK167" s="236">
        <f t="shared" ref="BK167:BK168" si="744">BJ167/BH167</f>
        <v>0.99931642304385215</v>
      </c>
      <c r="BM167" s="122">
        <f>BM161</f>
        <v>500000</v>
      </c>
      <c r="BN167" s="236">
        <f t="shared" ref="BN167:BN168" si="745">BM167/BJ167</f>
        <v>4.302167001518665</v>
      </c>
      <c r="BO167" s="236">
        <f t="shared" ref="BO167:BO168" si="746">BM167/BH167</f>
        <v>4.2992261392949267</v>
      </c>
      <c r="BQ167" s="122">
        <f>BQ161</f>
        <v>-45400</v>
      </c>
      <c r="BR167" s="122">
        <f>BR161</f>
        <v>454600</v>
      </c>
      <c r="BT167" s="122">
        <f>BT161</f>
        <v>-15000</v>
      </c>
      <c r="BU167" s="122">
        <f>BU161</f>
        <v>439600</v>
      </c>
      <c r="BW167" s="122">
        <f>BW161</f>
        <v>-211634</v>
      </c>
      <c r="BX167" s="122">
        <f>BX161</f>
        <v>227966</v>
      </c>
      <c r="BZ167" s="122">
        <f>BZ161</f>
        <v>0</v>
      </c>
      <c r="CA167" s="122">
        <f>CA161</f>
        <v>227966</v>
      </c>
      <c r="CC167" s="122">
        <f>CC161</f>
        <v>0</v>
      </c>
      <c r="CD167" s="122">
        <f>CD161</f>
        <v>227966</v>
      </c>
      <c r="CF167" s="122">
        <f>CF161</f>
        <v>-66010</v>
      </c>
      <c r="CG167" s="122">
        <f>CG161</f>
        <v>161956</v>
      </c>
      <c r="CI167" s="122">
        <f>CI161</f>
        <v>-34200</v>
      </c>
      <c r="CJ167" s="122">
        <f>CJ161</f>
        <v>127756</v>
      </c>
      <c r="CL167" s="319">
        <f>CL161</f>
        <v>0</v>
      </c>
      <c r="CM167" s="122">
        <f>CM161</f>
        <v>127756</v>
      </c>
      <c r="CO167" s="122">
        <f>CO161</f>
        <v>0</v>
      </c>
      <c r="CP167" s="122">
        <f>CP161</f>
        <v>127756</v>
      </c>
      <c r="CR167" s="122">
        <f>CR161</f>
        <v>0</v>
      </c>
      <c r="CS167" s="122">
        <f>CS161</f>
        <v>127756</v>
      </c>
      <c r="CU167" s="122">
        <f>CU161</f>
        <v>0</v>
      </c>
      <c r="CV167" s="122">
        <f>CV161</f>
        <v>127756</v>
      </c>
      <c r="CX167" s="122">
        <f>CX161</f>
        <v>0</v>
      </c>
      <c r="CY167" s="122">
        <f>CY161</f>
        <v>127756</v>
      </c>
      <c r="DA167" s="122">
        <f>DA161</f>
        <v>29588</v>
      </c>
      <c r="DC167" s="122">
        <f>DC161</f>
        <v>620000</v>
      </c>
      <c r="DE167" s="122">
        <f>DE161</f>
        <v>0</v>
      </c>
      <c r="DF167" s="122">
        <f>DF161</f>
        <v>620000</v>
      </c>
      <c r="DH167" s="122">
        <f>DH161</f>
        <v>0</v>
      </c>
      <c r="DI167" s="122">
        <f>DI161</f>
        <v>620000</v>
      </c>
      <c r="DK167" s="122">
        <f>DK161</f>
        <v>0</v>
      </c>
      <c r="DL167" s="122">
        <f>DL161</f>
        <v>620000</v>
      </c>
      <c r="DN167" s="122">
        <f>DN161</f>
        <v>0</v>
      </c>
      <c r="DO167" s="122">
        <f>DO161</f>
        <v>620000</v>
      </c>
      <c r="DQ167" s="122">
        <f>DQ161</f>
        <v>0</v>
      </c>
      <c r="DR167" s="122">
        <f>DR161</f>
        <v>620000</v>
      </c>
      <c r="DT167" s="122">
        <f>DT161</f>
        <v>0</v>
      </c>
      <c r="DU167" s="122">
        <f>DU161</f>
        <v>620000</v>
      </c>
      <c r="DW167" s="122">
        <f>DW161</f>
        <v>-620000</v>
      </c>
      <c r="DX167" s="122">
        <f>DX161</f>
        <v>0</v>
      </c>
      <c r="DZ167" s="122">
        <f>DZ161</f>
        <v>0</v>
      </c>
      <c r="EA167" s="122">
        <f>EA161</f>
        <v>0</v>
      </c>
      <c r="EC167" s="122">
        <f>EC161</f>
        <v>0</v>
      </c>
      <c r="ED167" s="122">
        <f>ED161</f>
        <v>0</v>
      </c>
      <c r="EF167" s="122">
        <f>EF161</f>
        <v>0</v>
      </c>
      <c r="EG167" s="122">
        <f>EG161</f>
        <v>0</v>
      </c>
      <c r="EI167" s="122">
        <f>EI161</f>
        <v>0</v>
      </c>
      <c r="EK167" s="122">
        <f>EK161</f>
        <v>0</v>
      </c>
      <c r="EL167" s="377" t="e">
        <f>EK167/EI167-1</f>
        <v>#DIV/0!</v>
      </c>
      <c r="EM167" s="122">
        <f>EM161</f>
        <v>0</v>
      </c>
      <c r="EN167" s="122">
        <f>EN161</f>
        <v>0</v>
      </c>
      <c r="EP167" s="122">
        <f>EP161</f>
        <v>0</v>
      </c>
      <c r="EQ167" s="122">
        <f>EQ161</f>
        <v>0</v>
      </c>
      <c r="ES167" s="122">
        <f>ES161</f>
        <v>0</v>
      </c>
      <c r="ET167" s="122">
        <f>ET161</f>
        <v>0</v>
      </c>
      <c r="EV167" s="122">
        <f>EV161</f>
        <v>0</v>
      </c>
      <c r="EW167" s="122">
        <f>EW161</f>
        <v>0</v>
      </c>
      <c r="EY167" s="122">
        <f>EY161</f>
        <v>0</v>
      </c>
      <c r="EZ167" s="122">
        <f>EZ161</f>
        <v>0</v>
      </c>
      <c r="FB167" s="122">
        <f>FB161</f>
        <v>0</v>
      </c>
      <c r="FC167" s="122">
        <f>FC161</f>
        <v>0</v>
      </c>
      <c r="FE167" s="122">
        <f>FE161</f>
        <v>0</v>
      </c>
      <c r="FF167" s="122">
        <f>FF161</f>
        <v>0</v>
      </c>
      <c r="FH167" s="122">
        <f>FH161</f>
        <v>0</v>
      </c>
      <c r="FI167" s="122">
        <f>FI161</f>
        <v>0</v>
      </c>
      <c r="FK167" s="122">
        <f>FK161</f>
        <v>0</v>
      </c>
      <c r="FL167" s="122">
        <f>FL161</f>
        <v>0</v>
      </c>
      <c r="FN167" s="122">
        <f>FN161</f>
        <v>0</v>
      </c>
      <c r="FO167" s="122">
        <f>FO161</f>
        <v>0</v>
      </c>
      <c r="FQ167" s="122">
        <v>0</v>
      </c>
      <c r="FR167" s="122">
        <v>0</v>
      </c>
      <c r="FT167" s="122">
        <f>FT161</f>
        <v>0</v>
      </c>
      <c r="FV167" s="122">
        <f>FV161</f>
        <v>0</v>
      </c>
      <c r="FW167" s="235" t="e">
        <f t="shared" ref="FW167:FW169" si="747">FV167/FT167</f>
        <v>#DIV/0!</v>
      </c>
      <c r="FY167" s="122">
        <f>FY161</f>
        <v>0</v>
      </c>
      <c r="FZ167" s="122">
        <f>FZ161</f>
        <v>0</v>
      </c>
      <c r="GB167" s="122">
        <f>GB161</f>
        <v>0</v>
      </c>
      <c r="GC167" s="122">
        <f>GC161</f>
        <v>0</v>
      </c>
      <c r="GE167" s="122">
        <f>GE161</f>
        <v>0</v>
      </c>
      <c r="GF167" s="122">
        <f>GF161</f>
        <v>0</v>
      </c>
      <c r="GH167" s="122">
        <f>GH161</f>
        <v>0</v>
      </c>
      <c r="GI167" s="122">
        <f>GI161</f>
        <v>0</v>
      </c>
      <c r="GK167" s="122">
        <f>GK161</f>
        <v>0</v>
      </c>
      <c r="GL167" s="122">
        <f>GL161</f>
        <v>0</v>
      </c>
      <c r="GN167" s="122">
        <f>GN161</f>
        <v>0</v>
      </c>
      <c r="GO167" s="122">
        <f>GO161</f>
        <v>0</v>
      </c>
      <c r="GQ167" s="122">
        <f>GQ161</f>
        <v>0</v>
      </c>
      <c r="GR167" s="122">
        <f>GR161</f>
        <v>0</v>
      </c>
      <c r="GT167" s="122">
        <f>GT161</f>
        <v>0</v>
      </c>
      <c r="GU167" s="122">
        <f>GU161</f>
        <v>0</v>
      </c>
      <c r="GW167" s="122">
        <f>GW161</f>
        <v>0</v>
      </c>
      <c r="GX167" s="122">
        <f>GX161</f>
        <v>0</v>
      </c>
      <c r="GZ167" s="122">
        <f>GZ161</f>
        <v>0</v>
      </c>
      <c r="HA167" s="430">
        <f>HA161</f>
        <v>0</v>
      </c>
      <c r="HC167" s="122">
        <f>HC161</f>
        <v>0</v>
      </c>
      <c r="HE167" s="122">
        <f>HE161</f>
        <v>0</v>
      </c>
      <c r="HF167" s="235" t="e">
        <f>HE167/HC167</f>
        <v>#DIV/0!</v>
      </c>
    </row>
    <row r="168" spans="1:214" ht="17.25" customHeight="1" thickTop="1" thickBot="1">
      <c r="A168" s="75" t="s">
        <v>60</v>
      </c>
      <c r="B168" s="76" t="s">
        <v>277</v>
      </c>
      <c r="C168" s="285" t="s">
        <v>340</v>
      </c>
      <c r="D168" s="78">
        <f>D162</f>
        <v>0</v>
      </c>
      <c r="E168" s="79"/>
      <c r="F168" s="78">
        <f>F162</f>
        <v>0</v>
      </c>
      <c r="G168" s="79"/>
      <c r="H168" s="78"/>
      <c r="I168" s="78">
        <f>I162</f>
        <v>26136</v>
      </c>
      <c r="J168" s="80"/>
      <c r="K168" s="77"/>
      <c r="L168" s="124">
        <f>L162</f>
        <v>300000</v>
      </c>
      <c r="M168" s="81" t="e">
        <f>L168/F168-1</f>
        <v>#DIV/0!</v>
      </c>
      <c r="N168" s="81">
        <f>L168/I168-1</f>
        <v>10.478420569329661</v>
      </c>
      <c r="Q168" s="124">
        <f t="shared" si="740"/>
        <v>237000</v>
      </c>
      <c r="R168" s="124">
        <f t="shared" si="740"/>
        <v>0</v>
      </c>
      <c r="S168" s="124">
        <f t="shared" si="740"/>
        <v>0</v>
      </c>
      <c r="T168" s="124">
        <f t="shared" si="740"/>
        <v>-237000</v>
      </c>
      <c r="U168" s="156">
        <f>S168/Q168-1</f>
        <v>-1</v>
      </c>
      <c r="Y168" s="124">
        <f>Y162</f>
        <v>0</v>
      </c>
      <c r="AA168" s="124">
        <f>AA162</f>
        <v>0</v>
      </c>
      <c r="AB168" s="124">
        <f>AB162</f>
        <v>0</v>
      </c>
      <c r="AE168" s="124">
        <f t="shared" ref="AE168" si="748">AE162</f>
        <v>0</v>
      </c>
      <c r="AF168" s="182"/>
      <c r="AH168" s="124">
        <f t="shared" ref="AH168" si="749">AH162</f>
        <v>0</v>
      </c>
      <c r="AK168" s="124">
        <f>AK162</f>
        <v>0</v>
      </c>
      <c r="AL168" s="193">
        <f t="shared" si="741"/>
        <v>0</v>
      </c>
      <c r="AM168" s="17" t="e">
        <f t="shared" si="742"/>
        <v>#DIV/0!</v>
      </c>
      <c r="AN168" s="17" t="e">
        <f t="shared" si="743"/>
        <v>#DIV/0!</v>
      </c>
      <c r="AS168" s="124">
        <f>AS162</f>
        <v>0</v>
      </c>
      <c r="AU168" s="124">
        <f>AU162</f>
        <v>0</v>
      </c>
      <c r="AV168" s="124">
        <f>AV162</f>
        <v>0</v>
      </c>
      <c r="AX168" s="124">
        <f>AX162</f>
        <v>0</v>
      </c>
      <c r="AY168" s="124">
        <f>AY162</f>
        <v>0</v>
      </c>
      <c r="BA168" s="124">
        <f>BA162+BA164</f>
        <v>33000</v>
      </c>
      <c r="BB168" s="124">
        <f>BB162+BB164</f>
        <v>33000</v>
      </c>
      <c r="BD168" s="124">
        <f>BD162+BD164</f>
        <v>64100</v>
      </c>
      <c r="BE168" s="124">
        <f>BE162+BE164</f>
        <v>97100</v>
      </c>
      <c r="BG168" s="124">
        <f>BG162+BG164</f>
        <v>0</v>
      </c>
      <c r="BH168" s="124">
        <f>BH162+BH164</f>
        <v>97100</v>
      </c>
      <c r="BJ168" s="124">
        <f>BJ162+BJ164</f>
        <v>96599</v>
      </c>
      <c r="BK168" s="237">
        <f t="shared" si="744"/>
        <v>0.99484037075180232</v>
      </c>
      <c r="BM168" s="124">
        <f>BM162+BM164</f>
        <v>0</v>
      </c>
      <c r="BN168" s="237">
        <f t="shared" si="745"/>
        <v>0</v>
      </c>
      <c r="BO168" s="237">
        <f t="shared" si="746"/>
        <v>0</v>
      </c>
      <c r="BQ168" s="124">
        <f>BQ162+BQ164</f>
        <v>0</v>
      </c>
      <c r="BR168" s="124">
        <f>BR162+BR164</f>
        <v>0</v>
      </c>
      <c r="BT168" s="124">
        <f>BT162+BT164</f>
        <v>0</v>
      </c>
      <c r="BU168" s="124">
        <f>BU162+BU164</f>
        <v>0</v>
      </c>
      <c r="BW168" s="124">
        <f>BW162+BW164</f>
        <v>0</v>
      </c>
      <c r="BX168" s="124">
        <f>BX162+BX164</f>
        <v>0</v>
      </c>
      <c r="BZ168" s="124">
        <f>BZ162+BZ164</f>
        <v>0</v>
      </c>
      <c r="CA168" s="124">
        <f>CA162+CA164</f>
        <v>0</v>
      </c>
      <c r="CC168" s="124">
        <f>CC162+CC164</f>
        <v>0</v>
      </c>
      <c r="CD168" s="124">
        <f>CD162+CD164</f>
        <v>0</v>
      </c>
      <c r="CF168" s="124">
        <f>CF162+CF164</f>
        <v>0</v>
      </c>
      <c r="CG168" s="124">
        <f>CG162+CG164</f>
        <v>0</v>
      </c>
      <c r="CI168" s="124">
        <f>CI162+CI164</f>
        <v>0</v>
      </c>
      <c r="CJ168" s="124">
        <f>CJ162+CJ164</f>
        <v>0</v>
      </c>
      <c r="CL168" s="319">
        <f>CL162+CL164</f>
        <v>0</v>
      </c>
      <c r="CM168" s="124">
        <f>CM162+CM164</f>
        <v>0</v>
      </c>
      <c r="CO168" s="124">
        <f>CO162+CO164</f>
        <v>0</v>
      </c>
      <c r="CP168" s="124">
        <f>CP162+CP164</f>
        <v>0</v>
      </c>
      <c r="CR168" s="124">
        <f>CR162+CR164</f>
        <v>0</v>
      </c>
      <c r="CS168" s="124">
        <f>CS162+CS164</f>
        <v>0</v>
      </c>
      <c r="CU168" s="124">
        <f>CU162+CU164</f>
        <v>0</v>
      </c>
      <c r="CV168" s="124">
        <f>CV162+CV164</f>
        <v>0</v>
      </c>
      <c r="CX168" s="124">
        <f>CX162+CX164</f>
        <v>0</v>
      </c>
      <c r="CY168" s="124">
        <f>CY162+CY164</f>
        <v>0</v>
      </c>
      <c r="DA168" s="124">
        <f>DA162+DA164</f>
        <v>0</v>
      </c>
      <c r="DC168" s="124">
        <f>DC162+DC164</f>
        <v>0</v>
      </c>
      <c r="DE168" s="124">
        <f>DE162+DE164</f>
        <v>0</v>
      </c>
      <c r="DF168" s="124">
        <f>DF162+DF164</f>
        <v>0</v>
      </c>
      <c r="DH168" s="124">
        <f>DH162+DH164</f>
        <v>0</v>
      </c>
      <c r="DI168" s="124">
        <f>DI162+DI164</f>
        <v>0</v>
      </c>
      <c r="DK168" s="124">
        <f>DK162+DK164</f>
        <v>0</v>
      </c>
      <c r="DL168" s="124">
        <f>DL162+DL164</f>
        <v>0</v>
      </c>
      <c r="DN168" s="124">
        <f>DN162+DN164</f>
        <v>0</v>
      </c>
      <c r="DO168" s="124">
        <f>DO162+DO164</f>
        <v>0</v>
      </c>
      <c r="DQ168" s="124">
        <f>DQ162+DQ164</f>
        <v>0</v>
      </c>
      <c r="DR168" s="124">
        <f>DR162+DR164</f>
        <v>0</v>
      </c>
      <c r="DT168" s="124">
        <f>DT162+DT164</f>
        <v>0</v>
      </c>
      <c r="DU168" s="124">
        <f>DU162+DU164</f>
        <v>0</v>
      </c>
      <c r="DW168" s="124">
        <f>DW162+DW164+DW163</f>
        <v>584000</v>
      </c>
      <c r="DX168" s="124">
        <f>DX162+DX164+DX163</f>
        <v>584000</v>
      </c>
      <c r="DZ168" s="124">
        <f>DZ162+DZ164+DZ163</f>
        <v>0</v>
      </c>
      <c r="EA168" s="124">
        <f>EA162+EA164+EA163</f>
        <v>584000</v>
      </c>
      <c r="EC168" s="124">
        <f>EC162+EC164+EC163</f>
        <v>0</v>
      </c>
      <c r="ED168" s="124">
        <f>ED162+ED164+ED163</f>
        <v>584000</v>
      </c>
      <c r="EF168" s="124">
        <f>EF162+EF164+EF163</f>
        <v>-200000</v>
      </c>
      <c r="EG168" s="124">
        <f>EG162+EG164+EG163</f>
        <v>384000</v>
      </c>
      <c r="EI168" s="124">
        <f>EI162+EI164+EI163</f>
        <v>84700</v>
      </c>
      <c r="EK168" s="124">
        <f>EK162+EK164+EK163</f>
        <v>620000</v>
      </c>
      <c r="EL168" s="377">
        <f>EK168/EI168-1</f>
        <v>6.3199527744982289</v>
      </c>
      <c r="EM168" s="124">
        <f>EM162+EM164+EM163</f>
        <v>0</v>
      </c>
      <c r="EN168" s="124">
        <f>EN162+EN164+EN163</f>
        <v>620000</v>
      </c>
      <c r="EP168" s="124">
        <f>EP162+EP164+EP163</f>
        <v>0</v>
      </c>
      <c r="EQ168" s="124">
        <f>EQ162+EQ164+EQ163</f>
        <v>620000</v>
      </c>
      <c r="ES168" s="124">
        <f>ES162+ES164+ES163</f>
        <v>0</v>
      </c>
      <c r="ET168" s="124">
        <f>ET162+ET164+ET163</f>
        <v>620000</v>
      </c>
      <c r="EV168" s="124">
        <f>EV162+EV164+EV163</f>
        <v>-36000</v>
      </c>
      <c r="EW168" s="124">
        <f>EW162+EW164+EW163</f>
        <v>584000</v>
      </c>
      <c r="EY168" s="124">
        <f>EY162+EY164+EY163</f>
        <v>0</v>
      </c>
      <c r="EZ168" s="124">
        <f>EZ162+EZ164+EZ163</f>
        <v>584000</v>
      </c>
      <c r="FB168" s="124">
        <f>FB162+FB164+FB163</f>
        <v>0</v>
      </c>
      <c r="FC168" s="124">
        <f>FC162+FC164+FC163</f>
        <v>584000</v>
      </c>
      <c r="FE168" s="124">
        <f>FE162+FE164+FE163</f>
        <v>0</v>
      </c>
      <c r="FF168" s="124">
        <f>FF162+FF164+FF163</f>
        <v>584000</v>
      </c>
      <c r="FH168" s="124">
        <f>FH162+FH164+FH163</f>
        <v>0</v>
      </c>
      <c r="FI168" s="124">
        <f>FI162+FI164+FI163</f>
        <v>584000</v>
      </c>
      <c r="FK168" s="124">
        <f>FK162+FK164+FK163</f>
        <v>-1680</v>
      </c>
      <c r="FL168" s="124">
        <f>FL162+FL164+FL163</f>
        <v>582320</v>
      </c>
      <c r="FN168" s="124">
        <f>FN162+FN164+FN163</f>
        <v>0</v>
      </c>
      <c r="FO168" s="124">
        <f>FO162+FO164+FO163</f>
        <v>582320</v>
      </c>
      <c r="FQ168" s="124">
        <v>0</v>
      </c>
      <c r="FR168" s="124">
        <v>582320</v>
      </c>
      <c r="FT168" s="124">
        <f>FT162+FT164+FT163</f>
        <v>582320</v>
      </c>
      <c r="FV168" s="124">
        <f>FV162+FV164+FV163</f>
        <v>253300</v>
      </c>
      <c r="FW168" s="235">
        <f t="shared" si="747"/>
        <v>0.43498420112652836</v>
      </c>
      <c r="FY168" s="124">
        <f>FY162+FY164+FY163</f>
        <v>0</v>
      </c>
      <c r="FZ168" s="124">
        <f>FZ162+FZ164+FZ163</f>
        <v>253300</v>
      </c>
      <c r="GB168" s="124">
        <f>GB162+GB164+GB163</f>
        <v>0</v>
      </c>
      <c r="GC168" s="124">
        <f>GC162+GC164+GC163</f>
        <v>253300</v>
      </c>
      <c r="GE168" s="124">
        <f>GE162+GE164+GE163</f>
        <v>0</v>
      </c>
      <c r="GF168" s="124">
        <f>GF162+GF164+GF163</f>
        <v>253300</v>
      </c>
      <c r="GH168" s="124">
        <f>GH162+GH164+GH163</f>
        <v>0</v>
      </c>
      <c r="GI168" s="124">
        <f>GI162+GI164+GI163</f>
        <v>253300</v>
      </c>
      <c r="GK168" s="124">
        <f>GK162+GK164+GK163</f>
        <v>0</v>
      </c>
      <c r="GL168" s="124">
        <f>GL162+GL164+GL163</f>
        <v>253300</v>
      </c>
      <c r="GN168" s="124">
        <f>GN162+GN164+GN163</f>
        <v>0</v>
      </c>
      <c r="GO168" s="124">
        <f>GO162+GO164+GO163</f>
        <v>253300</v>
      </c>
      <c r="GQ168" s="124">
        <f>GQ162+GQ164+GQ163</f>
        <v>6000</v>
      </c>
      <c r="GR168" s="124">
        <f>GR162+GR164+GR163</f>
        <v>259300</v>
      </c>
      <c r="GT168" s="124">
        <f>GT162+GT164+GT163</f>
        <v>0</v>
      </c>
      <c r="GU168" s="124">
        <f>GU162+GU164+GU163</f>
        <v>259300</v>
      </c>
      <c r="GW168" s="124">
        <f>GW162+GW164+GW163</f>
        <v>0</v>
      </c>
      <c r="GX168" s="124">
        <f>GX162+GX164+GX163</f>
        <v>259300</v>
      </c>
      <c r="GZ168" s="124">
        <f>GZ162+GZ164+GZ163</f>
        <v>0</v>
      </c>
      <c r="HA168" s="432">
        <f>HA162+HA164+HA163</f>
        <v>259300</v>
      </c>
      <c r="HC168" s="124">
        <f>HC162+HC164+HC163</f>
        <v>259300</v>
      </c>
      <c r="HE168" s="124">
        <f>HE162+HE164+HE163</f>
        <v>0</v>
      </c>
      <c r="HF168" s="235">
        <f>HE168/HC168</f>
        <v>0</v>
      </c>
    </row>
    <row r="169" spans="1:214" ht="15.75" outlineLevel="1" thickTop="1">
      <c r="A169" s="1" t="s">
        <v>177</v>
      </c>
      <c r="B169" s="1" t="s">
        <v>115</v>
      </c>
      <c r="C169" s="4" t="s">
        <v>116</v>
      </c>
      <c r="D169" s="43">
        <v>12000</v>
      </c>
      <c r="E169" s="34">
        <v>72.510000000000005</v>
      </c>
      <c r="F169" s="43">
        <v>12000</v>
      </c>
      <c r="G169" s="34">
        <v>72.510000000000005</v>
      </c>
      <c r="H169" s="46">
        <v>8701</v>
      </c>
      <c r="I169" s="36">
        <v>10000</v>
      </c>
      <c r="J169" s="14"/>
      <c r="K169" t="s">
        <v>332</v>
      </c>
      <c r="L169" s="118">
        <v>15000</v>
      </c>
      <c r="M169" s="17">
        <f>L169/F169-1</f>
        <v>0.25</v>
      </c>
      <c r="N169" s="17">
        <f>L169/I169-1</f>
        <v>0.5</v>
      </c>
      <c r="Q169" s="118">
        <v>15000</v>
      </c>
      <c r="R169" s="15">
        <v>4539</v>
      </c>
      <c r="S169" s="118">
        <v>10000</v>
      </c>
      <c r="T169" s="15">
        <f>S169-Q169</f>
        <v>-5000</v>
      </c>
      <c r="U169" s="16">
        <f>S169/Q169-1</f>
        <v>-0.33333333333333337</v>
      </c>
      <c r="Y169" s="118">
        <v>10000</v>
      </c>
      <c r="AA169" s="118">
        <v>8500</v>
      </c>
      <c r="AB169" s="185">
        <f t="shared" ref="AB169" si="750">AA169-Y169</f>
        <v>-1500</v>
      </c>
      <c r="AC169" s="187">
        <f t="shared" ref="AC169" si="751">AA169-Y169</f>
        <v>-1500</v>
      </c>
      <c r="AD169" s="187"/>
      <c r="AE169" s="118">
        <v>8500</v>
      </c>
      <c r="AF169" s="182"/>
      <c r="AH169" s="15">
        <v>7278.18</v>
      </c>
      <c r="AI169" s="17">
        <f t="shared" ref="AI169" si="752">AH169/AE169</f>
        <v>0.85625647058823529</v>
      </c>
      <c r="AK169" s="118">
        <v>7500</v>
      </c>
      <c r="AS169" s="15">
        <f t="shared" ref="AS169" si="753">AR169+AK169</f>
        <v>7500</v>
      </c>
      <c r="AV169" s="15">
        <f t="shared" ref="AV169" si="754">AS169+AU169</f>
        <v>7500</v>
      </c>
      <c r="AX169" s="15"/>
      <c r="AY169" s="15">
        <f t="shared" ref="AY169" si="755">AV169+AX169</f>
        <v>7500</v>
      </c>
      <c r="BB169" s="15">
        <f t="shared" ref="BB169" si="756">AY169+BA169</f>
        <v>7500</v>
      </c>
      <c r="BD169" s="15"/>
      <c r="BE169" s="15">
        <f t="shared" ref="BE169" si="757">BB169+BD169</f>
        <v>7500</v>
      </c>
      <c r="BG169" s="15"/>
      <c r="BH169" s="15">
        <f t="shared" ref="BH169" si="758">BE169+BG169</f>
        <v>7500</v>
      </c>
      <c r="BJ169" s="15">
        <v>6026</v>
      </c>
      <c r="BK169" s="235">
        <f t="shared" ref="BK169" si="759">BJ169/BH169</f>
        <v>0.80346666666666666</v>
      </c>
      <c r="BM169" s="15">
        <v>8000</v>
      </c>
      <c r="BN169" s="235">
        <f t="shared" ref="BN169" si="760">BM169/BJ169</f>
        <v>1.3275804845668768</v>
      </c>
      <c r="BO169" s="235">
        <f t="shared" ref="BO169" si="761">BM169/BH169</f>
        <v>1.0666666666666667</v>
      </c>
      <c r="BQ169" s="15"/>
      <c r="BR169" s="15">
        <f t="shared" ref="BR169" si="762">BM169+BQ169</f>
        <v>8000</v>
      </c>
      <c r="BT169" s="15"/>
      <c r="BU169" s="15">
        <f>BR169+BT169</f>
        <v>8000</v>
      </c>
      <c r="BW169" s="15"/>
      <c r="BX169" s="15">
        <f>BU169+BW169</f>
        <v>8000</v>
      </c>
      <c r="BZ169" s="15"/>
      <c r="CA169" s="15">
        <f>BX169+BZ169</f>
        <v>8000</v>
      </c>
      <c r="CC169" s="15"/>
      <c r="CD169" s="15">
        <f>CA169+CC169</f>
        <v>8000</v>
      </c>
      <c r="CF169" s="15"/>
      <c r="CG169" s="15">
        <f>CD169+CF169</f>
        <v>8000</v>
      </c>
      <c r="CI169" s="15"/>
      <c r="CJ169" s="15">
        <f>CG169+CI169</f>
        <v>8000</v>
      </c>
      <c r="CM169" s="15">
        <f>CJ169+CL169</f>
        <v>8000</v>
      </c>
      <c r="CO169" s="15">
        <v>-2000</v>
      </c>
      <c r="CP169" s="15">
        <f>CM169+CO169</f>
        <v>6000</v>
      </c>
      <c r="CS169" s="15">
        <f>CP169+CR169</f>
        <v>6000</v>
      </c>
      <c r="CV169" s="15">
        <f>CS169+CU169</f>
        <v>6000</v>
      </c>
      <c r="CY169" s="15">
        <f>CV169+CX169</f>
        <v>6000</v>
      </c>
      <c r="DA169" s="15">
        <v>5655.77</v>
      </c>
      <c r="DC169" s="15">
        <v>7000</v>
      </c>
      <c r="DE169" s="15"/>
      <c r="DF169" s="15">
        <f t="shared" ref="DF169" si="763">DC169+DE169</f>
        <v>7000</v>
      </c>
      <c r="DH169" s="15"/>
      <c r="DI169" s="15">
        <f t="shared" ref="DI169" si="764">DF169+DH169</f>
        <v>7000</v>
      </c>
      <c r="DK169" s="15"/>
      <c r="DL169" s="15">
        <f t="shared" ref="DL169" si="765">DI169+DK169</f>
        <v>7000</v>
      </c>
      <c r="DN169" s="15"/>
      <c r="DO169" s="15">
        <f t="shared" ref="DO169" si="766">DL169+DN169</f>
        <v>7000</v>
      </c>
      <c r="DQ169" s="15"/>
      <c r="DR169" s="15">
        <f t="shared" ref="DR169" si="767">DO169+DQ169</f>
        <v>7000</v>
      </c>
      <c r="DT169" s="15"/>
      <c r="DU169" s="15">
        <f t="shared" ref="DU169" si="768">DR169+DT169</f>
        <v>7000</v>
      </c>
      <c r="DW169" s="15"/>
      <c r="DX169" s="15">
        <f t="shared" ref="DX169" si="769">DU169+DW169</f>
        <v>7000</v>
      </c>
      <c r="DZ169" s="227">
        <v>750</v>
      </c>
      <c r="EA169" s="15">
        <f t="shared" ref="EA169" si="770">DX169+DZ169</f>
        <v>7750</v>
      </c>
      <c r="EC169" s="15"/>
      <c r="ED169" s="15">
        <f t="shared" ref="ED169" si="771">EA169+EC169</f>
        <v>7750</v>
      </c>
      <c r="EF169" s="15"/>
      <c r="EG169" s="15">
        <f t="shared" ref="EG169" si="772">ED169+EF169</f>
        <v>7750</v>
      </c>
      <c r="EI169" s="15">
        <v>7726.89</v>
      </c>
      <c r="EK169" s="15">
        <v>8000</v>
      </c>
      <c r="EM169" s="15"/>
      <c r="EN169" s="15">
        <f t="shared" ref="EN169" si="773">EK169+EM169</f>
        <v>8000</v>
      </c>
      <c r="EP169" s="15"/>
      <c r="EQ169" s="15">
        <f t="shared" ref="EQ169" si="774">EN169+EP169</f>
        <v>8000</v>
      </c>
      <c r="ES169" s="15"/>
      <c r="ET169" s="15">
        <f t="shared" ref="ET169" si="775">EQ169+ES169</f>
        <v>8000</v>
      </c>
      <c r="EW169" s="15">
        <f t="shared" ref="EW169" si="776">ET169+EV169</f>
        <v>8000</v>
      </c>
      <c r="EZ169" s="15">
        <f t="shared" ref="EZ169" si="777">EW169+EY169</f>
        <v>8000</v>
      </c>
      <c r="FC169" s="15">
        <f t="shared" ref="FC169" si="778">EZ169+FB169</f>
        <v>8000</v>
      </c>
      <c r="FE169" s="227">
        <v>1350</v>
      </c>
      <c r="FF169" s="15">
        <f t="shared" ref="FF169" si="779">FC169+FE169</f>
        <v>9350</v>
      </c>
      <c r="FI169" s="15">
        <f t="shared" ref="FI169" si="780">FF169+FH169</f>
        <v>9350</v>
      </c>
      <c r="FL169" s="15">
        <f t="shared" ref="FL169" si="781">FI169+FK169</f>
        <v>9350</v>
      </c>
      <c r="FO169" s="15">
        <f t="shared" ref="FO169" si="782">FL169+FN169</f>
        <v>9350</v>
      </c>
      <c r="FR169" s="15">
        <v>9350</v>
      </c>
      <c r="FT169" s="15">
        <v>9339.2900000000009</v>
      </c>
      <c r="FV169" s="15">
        <v>12000</v>
      </c>
      <c r="FW169" s="235">
        <f t="shared" si="747"/>
        <v>1.2848942478496759</v>
      </c>
      <c r="FZ169" s="15">
        <f>FV169+FY169</f>
        <v>12000</v>
      </c>
      <c r="GB169" s="15"/>
      <c r="GC169" s="15">
        <f>FZ169+GB169</f>
        <v>12000</v>
      </c>
      <c r="GE169" s="227">
        <v>5000</v>
      </c>
      <c r="GF169" s="15">
        <f>GC169+GE169</f>
        <v>17000</v>
      </c>
      <c r="GH169" s="15"/>
      <c r="GI169" s="15">
        <f>GF169+GH169</f>
        <v>17000</v>
      </c>
      <c r="GK169" s="15"/>
      <c r="GL169" s="15">
        <f>GI169+GK169</f>
        <v>17000</v>
      </c>
      <c r="GN169" s="15"/>
      <c r="GO169" s="15">
        <f>GL169+GN169</f>
        <v>17000</v>
      </c>
      <c r="GQ169" s="227">
        <v>-3000</v>
      </c>
      <c r="GR169" s="15">
        <f>GO169+GQ169</f>
        <v>14000</v>
      </c>
      <c r="GT169" s="15"/>
      <c r="GU169" s="15">
        <f>GR169+GT169</f>
        <v>14000</v>
      </c>
      <c r="GW169" s="15"/>
      <c r="GX169" s="15">
        <f>GU169+GW169</f>
        <v>14000</v>
      </c>
      <c r="GZ169" s="15"/>
      <c r="HA169" s="189">
        <f>GX169+GZ169</f>
        <v>14000</v>
      </c>
      <c r="HC169" s="189">
        <v>13594.41</v>
      </c>
      <c r="HE169" s="15">
        <v>15000</v>
      </c>
      <c r="HF169" s="235">
        <f>HE169/HC169</f>
        <v>1.103394704146778</v>
      </c>
    </row>
    <row r="170" spans="1:214" outlineLevel="1">
      <c r="A170" s="1" t="s">
        <v>177</v>
      </c>
      <c r="B170" s="4" t="s">
        <v>46</v>
      </c>
      <c r="C170" s="4" t="s">
        <v>178</v>
      </c>
      <c r="D170" s="43">
        <v>12000</v>
      </c>
      <c r="E170" s="34">
        <v>72.510000000000005</v>
      </c>
      <c r="F170" s="43">
        <v>12000</v>
      </c>
      <c r="G170" s="34">
        <v>72.510000000000005</v>
      </c>
      <c r="H170" s="46">
        <v>8701</v>
      </c>
      <c r="I170" s="36"/>
      <c r="J170" s="14"/>
      <c r="Y170" s="118"/>
      <c r="AF170" s="182"/>
      <c r="AH170" s="15"/>
      <c r="AX170" s="15"/>
      <c r="BD170" s="15"/>
      <c r="BG170" s="15"/>
      <c r="DE170" s="15"/>
      <c r="DH170" s="15"/>
      <c r="DK170" s="15"/>
      <c r="DN170" s="15"/>
      <c r="DQ170" s="15"/>
      <c r="DT170" s="15"/>
      <c r="DW170" s="15"/>
      <c r="DZ170" s="15"/>
      <c r="EC170" s="15"/>
      <c r="EF170" s="15"/>
      <c r="EK170" s="15"/>
      <c r="EM170" s="15"/>
      <c r="EP170" s="15"/>
      <c r="ES170" s="15"/>
      <c r="GB170" s="15"/>
      <c r="GE170" s="15"/>
      <c r="GH170" s="15"/>
      <c r="GK170" s="15"/>
      <c r="GN170" s="15"/>
      <c r="GQ170" s="15"/>
      <c r="GT170" s="15"/>
      <c r="GW170" s="15"/>
      <c r="GZ170" s="15"/>
    </row>
    <row r="171" spans="1:214" outlineLevel="1">
      <c r="A171" s="1" t="s">
        <v>179</v>
      </c>
      <c r="B171" s="1" t="s">
        <v>146</v>
      </c>
      <c r="C171" s="4" t="s">
        <v>147</v>
      </c>
      <c r="D171" s="43"/>
      <c r="E171" s="34"/>
      <c r="F171" s="43"/>
      <c r="G171" s="34"/>
      <c r="H171" s="46"/>
      <c r="I171" s="36"/>
      <c r="J171" s="14"/>
      <c r="Y171" s="118"/>
      <c r="AF171" s="182"/>
      <c r="AH171" s="15"/>
      <c r="AX171" s="15"/>
      <c r="BD171" s="15"/>
      <c r="BG171" s="15"/>
      <c r="DE171" s="15"/>
      <c r="DH171" s="15"/>
      <c r="DK171" s="15"/>
      <c r="DN171" s="15"/>
      <c r="DQ171" s="15"/>
      <c r="DT171" s="15"/>
      <c r="DW171" s="15"/>
      <c r="DZ171" s="15"/>
      <c r="EC171" s="15"/>
      <c r="EF171" s="15"/>
      <c r="EK171" s="15"/>
      <c r="EM171" s="15"/>
      <c r="EP171" s="15"/>
      <c r="ES171" s="15"/>
      <c r="FK171" s="227">
        <v>8800</v>
      </c>
      <c r="FL171" s="15">
        <f>FI171+FK171</f>
        <v>8800</v>
      </c>
      <c r="FO171" s="15">
        <f>FL171+FN171</f>
        <v>8800</v>
      </c>
      <c r="FR171" s="15">
        <v>8800</v>
      </c>
      <c r="FT171" s="15">
        <v>8792</v>
      </c>
      <c r="FV171" s="15">
        <v>0</v>
      </c>
      <c r="FW171" s="235">
        <f t="shared" ref="FW171:FW172" si="783">FV171/FT171</f>
        <v>0</v>
      </c>
      <c r="FZ171" s="15">
        <f>FV171+FY171</f>
        <v>0</v>
      </c>
      <c r="GB171" s="15"/>
      <c r="GC171" s="15">
        <f>FZ171+GB171</f>
        <v>0</v>
      </c>
      <c r="GE171" s="15"/>
      <c r="GF171" s="15">
        <f>GC171+GE171</f>
        <v>0</v>
      </c>
      <c r="GH171" s="15"/>
      <c r="GI171" s="15">
        <f>GF171+GH171</f>
        <v>0</v>
      </c>
      <c r="GK171" s="15"/>
      <c r="GL171" s="15">
        <f>GI171+GK171</f>
        <v>0</v>
      </c>
      <c r="GN171" s="15"/>
      <c r="GO171" s="15">
        <f>GL171+GN171</f>
        <v>0</v>
      </c>
      <c r="GQ171" s="15"/>
      <c r="GR171" s="15">
        <f>GO171+GQ171</f>
        <v>0</v>
      </c>
      <c r="GT171" s="15"/>
      <c r="GU171" s="15">
        <f>GR171+GT171</f>
        <v>0</v>
      </c>
      <c r="GW171" s="15"/>
      <c r="GX171" s="15">
        <f>GU171+GW171</f>
        <v>0</v>
      </c>
      <c r="GZ171" s="15"/>
      <c r="HA171" s="189">
        <f>GX171+GZ171</f>
        <v>0</v>
      </c>
      <c r="HE171" s="15">
        <v>0</v>
      </c>
      <c r="HF171" s="235" t="e">
        <f>HE171/HC171</f>
        <v>#DIV/0!</v>
      </c>
    </row>
    <row r="172" spans="1:214" outlineLevel="1">
      <c r="A172" s="1" t="s">
        <v>179</v>
      </c>
      <c r="B172" s="1" t="s">
        <v>115</v>
      </c>
      <c r="C172" s="4" t="s">
        <v>116</v>
      </c>
      <c r="D172" s="43">
        <v>185000</v>
      </c>
      <c r="E172" s="34">
        <v>102.38</v>
      </c>
      <c r="F172" s="43">
        <v>235000</v>
      </c>
      <c r="G172" s="34">
        <v>80.599999999999994</v>
      </c>
      <c r="H172" s="46">
        <v>189400.07</v>
      </c>
      <c r="I172" s="36">
        <v>252000</v>
      </c>
      <c r="J172" s="14"/>
      <c r="K172" t="s">
        <v>332</v>
      </c>
      <c r="L172" s="118">
        <v>270000</v>
      </c>
      <c r="M172" s="17">
        <f>L172/F172-1</f>
        <v>0.14893617021276606</v>
      </c>
      <c r="N172" s="17">
        <f>L172/I172-1</f>
        <v>7.1428571428571397E-2</v>
      </c>
      <c r="Q172" s="118">
        <v>270000</v>
      </c>
      <c r="R172" s="15">
        <v>128630</v>
      </c>
      <c r="S172" s="118">
        <v>260000</v>
      </c>
      <c r="T172" s="15">
        <f>S172-Q172</f>
        <v>-10000</v>
      </c>
      <c r="U172" s="16">
        <f>S172/Q172-1</f>
        <v>-3.703703703703709E-2</v>
      </c>
      <c r="Y172" s="118">
        <v>260000</v>
      </c>
      <c r="AA172" s="118">
        <v>260000</v>
      </c>
      <c r="AB172" s="185">
        <f t="shared" ref="AB172" si="784">AA172-Y172</f>
        <v>0</v>
      </c>
      <c r="AC172" s="187">
        <f t="shared" ref="AC172" si="785">AA172-Y172</f>
        <v>0</v>
      </c>
      <c r="AD172" s="187"/>
      <c r="AE172" s="118">
        <v>260000</v>
      </c>
      <c r="AF172" s="182"/>
      <c r="AH172" s="15">
        <v>233955.72</v>
      </c>
      <c r="AI172" s="17">
        <f t="shared" ref="AI172" si="786">AH172/AE172</f>
        <v>0.89982969230769227</v>
      </c>
      <c r="AK172" s="118">
        <v>248000</v>
      </c>
      <c r="AS172" s="15">
        <f t="shared" ref="AS172" si="787">AR172+AK172</f>
        <v>248000</v>
      </c>
      <c r="AV172" s="15">
        <f t="shared" ref="AV172" si="788">AS172+AU172</f>
        <v>248000</v>
      </c>
      <c r="AX172" s="15"/>
      <c r="AY172" s="15">
        <f t="shared" ref="AY172" si="789">AV172+AX172</f>
        <v>248000</v>
      </c>
      <c r="BB172" s="15">
        <f t="shared" ref="BB172" si="790">AY172+BA172</f>
        <v>248000</v>
      </c>
      <c r="BD172" s="15">
        <v>-28000</v>
      </c>
      <c r="BE172" s="15">
        <f t="shared" ref="BE172" si="791">BB172+BD172</f>
        <v>220000</v>
      </c>
      <c r="BG172" s="15">
        <v>2500</v>
      </c>
      <c r="BH172" s="15">
        <f t="shared" ref="BH172" si="792">BE172+BG172</f>
        <v>222500</v>
      </c>
      <c r="BJ172" s="15">
        <v>222290.49</v>
      </c>
      <c r="BK172" s="235">
        <f t="shared" ref="BK172" si="793">BJ172/BH172</f>
        <v>0.99905838202247188</v>
      </c>
      <c r="BM172" s="15">
        <v>305000</v>
      </c>
      <c r="BN172" s="235">
        <f t="shared" ref="BN172" si="794">BM172/BJ172</f>
        <v>1.3720784906272869</v>
      </c>
      <c r="BO172" s="235">
        <f t="shared" ref="BO172" si="795">BM172/BH172</f>
        <v>1.3707865168539326</v>
      </c>
      <c r="BQ172" s="15"/>
      <c r="BR172" s="15">
        <f t="shared" ref="BR172" si="796">BM172+BQ172</f>
        <v>305000</v>
      </c>
      <c r="BT172" s="15"/>
      <c r="BU172" s="15">
        <f>BR172+BT172</f>
        <v>305000</v>
      </c>
      <c r="BW172" s="15"/>
      <c r="BX172" s="15">
        <f>BU172+BW172</f>
        <v>305000</v>
      </c>
      <c r="BZ172" s="15"/>
      <c r="CA172" s="15">
        <f>BX172+BZ172</f>
        <v>305000</v>
      </c>
      <c r="CC172" s="15"/>
      <c r="CD172" s="15">
        <f>CA172+CC172</f>
        <v>305000</v>
      </c>
      <c r="CF172" s="15"/>
      <c r="CG172" s="15">
        <f>CD172+CF172</f>
        <v>305000</v>
      </c>
      <c r="CI172" s="15"/>
      <c r="CJ172" s="15">
        <f>CG172+CI172</f>
        <v>305000</v>
      </c>
      <c r="CM172" s="15">
        <f>CJ172+CL172</f>
        <v>305000</v>
      </c>
      <c r="CO172" s="15">
        <v>35000</v>
      </c>
      <c r="CP172" s="15">
        <f>CM172+CO172</f>
        <v>340000</v>
      </c>
      <c r="CS172" s="15">
        <f>CP172+CR172</f>
        <v>340000</v>
      </c>
      <c r="CV172" s="15">
        <f>CS172+CU172</f>
        <v>340000</v>
      </c>
      <c r="CY172" s="15">
        <f>CV172+CX172</f>
        <v>340000</v>
      </c>
      <c r="DA172" s="15">
        <v>338492.6</v>
      </c>
      <c r="DC172" s="15">
        <f>360000+50*600*1.21+700</f>
        <v>397000</v>
      </c>
      <c r="DE172" s="15"/>
      <c r="DF172" s="15">
        <f t="shared" ref="DF172" si="797">DC172+DE172</f>
        <v>397000</v>
      </c>
      <c r="DH172" s="15"/>
      <c r="DI172" s="15">
        <f t="shared" ref="DI172" si="798">DF172+DH172</f>
        <v>397000</v>
      </c>
      <c r="DK172" s="15"/>
      <c r="DL172" s="15">
        <f t="shared" ref="DL172" si="799">DI172+DK172</f>
        <v>397000</v>
      </c>
      <c r="DN172" s="15"/>
      <c r="DO172" s="15">
        <f t="shared" ref="DO172" si="800">DL172+DN172</f>
        <v>397000</v>
      </c>
      <c r="DQ172" s="15"/>
      <c r="DR172" s="15">
        <f t="shared" ref="DR172:DR173" si="801">DO172+DQ172</f>
        <v>397000</v>
      </c>
      <c r="DT172" s="15"/>
      <c r="DU172" s="15">
        <f t="shared" ref="DU172:DU173" si="802">DR172+DT172</f>
        <v>397000</v>
      </c>
      <c r="DW172" s="15"/>
      <c r="DX172" s="15">
        <f t="shared" ref="DX172:DX173" si="803">DU172+DW172</f>
        <v>397000</v>
      </c>
      <c r="DZ172" s="15"/>
      <c r="EA172" s="15">
        <f t="shared" ref="EA172:EA173" si="804">DX172+DZ172</f>
        <v>397000</v>
      </c>
      <c r="EC172" s="227">
        <v>18000</v>
      </c>
      <c r="ED172" s="15">
        <f t="shared" ref="ED172:ED173" si="805">EA172+EC172</f>
        <v>415000</v>
      </c>
      <c r="EF172" s="227">
        <v>28200</v>
      </c>
      <c r="EG172" s="15">
        <f t="shared" ref="EG172:EG173" si="806">ED172+EF172</f>
        <v>443200</v>
      </c>
      <c r="EI172" s="15">
        <v>410992.59</v>
      </c>
      <c r="EK172" s="15">
        <v>470000</v>
      </c>
      <c r="EM172" s="15"/>
      <c r="EN172" s="15">
        <f>EK172+EM172</f>
        <v>470000</v>
      </c>
      <c r="EP172" s="15"/>
      <c r="EQ172" s="15">
        <f>EN172+EP172</f>
        <v>470000</v>
      </c>
      <c r="ES172" s="15"/>
      <c r="ET172" s="15">
        <f>EQ172+ES172</f>
        <v>470000</v>
      </c>
      <c r="EW172" s="15">
        <f>ET172+EV172</f>
        <v>470000</v>
      </c>
      <c r="EZ172" s="15">
        <f>EW172+EY172</f>
        <v>470000</v>
      </c>
      <c r="FC172" s="15">
        <f>EZ172+FB172</f>
        <v>470000</v>
      </c>
      <c r="FF172" s="15">
        <f>FC172+FE172</f>
        <v>470000</v>
      </c>
      <c r="FI172" s="15">
        <f>FF172+FH172</f>
        <v>470000</v>
      </c>
      <c r="FK172" s="227">
        <v>23400</v>
      </c>
      <c r="FL172" s="15">
        <f>FI172+FK172</f>
        <v>493400</v>
      </c>
      <c r="FO172" s="15">
        <f>FL172+FN172</f>
        <v>493400</v>
      </c>
      <c r="FR172" s="15">
        <v>493400</v>
      </c>
      <c r="FT172" s="15">
        <v>469391.7</v>
      </c>
      <c r="FV172" s="15">
        <v>480000</v>
      </c>
      <c r="FW172" s="235">
        <f t="shared" si="783"/>
        <v>1.022600101365235</v>
      </c>
      <c r="FZ172" s="15">
        <f>FV172+FY172</f>
        <v>480000</v>
      </c>
      <c r="GB172" s="15"/>
      <c r="GC172" s="15">
        <f>FZ172+GB172</f>
        <v>480000</v>
      </c>
      <c r="GE172" s="15"/>
      <c r="GF172" s="15">
        <f>GC172+GE172</f>
        <v>480000</v>
      </c>
      <c r="GH172" s="15"/>
      <c r="GI172" s="15">
        <f>GF172+GH172</f>
        <v>480000</v>
      </c>
      <c r="GK172" s="15"/>
      <c r="GL172" s="15">
        <f>GI172+GK172</f>
        <v>480000</v>
      </c>
      <c r="GN172" s="15"/>
      <c r="GO172" s="15">
        <f>GL172+GN172</f>
        <v>480000</v>
      </c>
      <c r="GQ172" s="15"/>
      <c r="GR172" s="15">
        <f>GO172+GQ172</f>
        <v>480000</v>
      </c>
      <c r="GT172" s="15"/>
      <c r="GU172" s="15">
        <f>GR172+GT172</f>
        <v>480000</v>
      </c>
      <c r="GW172" s="15"/>
      <c r="GX172" s="15">
        <f>GU172+GW172</f>
        <v>480000</v>
      </c>
      <c r="GZ172" s="15"/>
      <c r="HA172" s="189">
        <f>GX172+GZ172</f>
        <v>480000</v>
      </c>
      <c r="HC172" s="189">
        <v>460526.94</v>
      </c>
      <c r="HE172" s="15">
        <v>475000</v>
      </c>
      <c r="HF172" s="235">
        <f>HE172/HC172</f>
        <v>1.0314271734027112</v>
      </c>
    </row>
    <row r="173" spans="1:214" outlineLevel="1">
      <c r="A173" s="1" t="s">
        <v>624</v>
      </c>
      <c r="B173" s="1" t="s">
        <v>208</v>
      </c>
      <c r="C173" s="4" t="s">
        <v>614</v>
      </c>
      <c r="D173" s="43"/>
      <c r="E173" s="34"/>
      <c r="F173" s="43"/>
      <c r="G173" s="34"/>
      <c r="H173" s="46"/>
      <c r="I173" s="36"/>
      <c r="J173" s="14"/>
      <c r="M173" s="17"/>
      <c r="N173" s="17"/>
      <c r="U173" s="16"/>
      <c r="Y173" s="118"/>
      <c r="AB173" s="185"/>
      <c r="AC173" s="187"/>
      <c r="AD173" s="187"/>
      <c r="AF173" s="182"/>
      <c r="AH173" s="15"/>
      <c r="AI173" s="17"/>
      <c r="AS173" s="15"/>
      <c r="AV173" s="15"/>
      <c r="AX173" s="15"/>
      <c r="AY173" s="15"/>
      <c r="BB173" s="15"/>
      <c r="BD173" s="15"/>
      <c r="BE173" s="15"/>
      <c r="BG173" s="15"/>
      <c r="BH173" s="15"/>
      <c r="BK173" s="235"/>
      <c r="BM173" s="15"/>
      <c r="BN173" s="235"/>
      <c r="BO173" s="235"/>
      <c r="BQ173" s="15"/>
      <c r="BR173" s="15"/>
      <c r="BT173" s="15"/>
      <c r="BU173" s="15"/>
      <c r="BW173" s="15"/>
      <c r="BX173" s="15"/>
      <c r="BZ173" s="15"/>
      <c r="CA173" s="15"/>
      <c r="CC173" s="15"/>
      <c r="CD173" s="15"/>
      <c r="CF173" s="15"/>
      <c r="CG173" s="15"/>
      <c r="CI173" s="15"/>
      <c r="CJ173" s="15"/>
      <c r="CM173" s="15"/>
      <c r="CP173" s="15"/>
      <c r="CS173" s="15"/>
      <c r="CV173" s="15"/>
      <c r="CY173" s="15"/>
      <c r="DE173" s="15"/>
      <c r="DF173" s="15"/>
      <c r="DH173" s="15"/>
      <c r="DI173" s="15"/>
      <c r="DK173" s="15"/>
      <c r="DL173" s="15"/>
      <c r="DN173" s="15"/>
      <c r="DO173" s="15"/>
      <c r="DQ173" s="227">
        <v>35100</v>
      </c>
      <c r="DR173" s="15">
        <f t="shared" si="801"/>
        <v>35100</v>
      </c>
      <c r="DT173" s="227">
        <v>2000</v>
      </c>
      <c r="DU173" s="15">
        <f t="shared" si="802"/>
        <v>37100</v>
      </c>
      <c r="DW173" s="15"/>
      <c r="DX173" s="15">
        <f t="shared" si="803"/>
        <v>37100</v>
      </c>
      <c r="DZ173" s="15"/>
      <c r="EA173" s="15">
        <f t="shared" si="804"/>
        <v>37100</v>
      </c>
      <c r="EC173" s="15"/>
      <c r="ED173" s="15">
        <f t="shared" si="805"/>
        <v>37100</v>
      </c>
      <c r="EF173" s="15"/>
      <c r="EG173" s="15">
        <f t="shared" si="806"/>
        <v>37100</v>
      </c>
      <c r="EI173" s="15">
        <v>37033</v>
      </c>
      <c r="EK173" s="15">
        <v>0</v>
      </c>
      <c r="EM173" s="15"/>
      <c r="EN173" s="15">
        <f t="shared" ref="EN173" si="807">EK173+EM173</f>
        <v>0</v>
      </c>
      <c r="EP173" s="15"/>
      <c r="EQ173" s="15">
        <f t="shared" ref="EQ173" si="808">EN173+EP173</f>
        <v>0</v>
      </c>
      <c r="ES173" s="15"/>
      <c r="ET173" s="15">
        <f t="shared" ref="ET173" si="809">EQ173+ES173</f>
        <v>0</v>
      </c>
      <c r="EW173" s="15">
        <f t="shared" ref="EW173" si="810">ET173+EV173</f>
        <v>0</v>
      </c>
      <c r="EZ173" s="15">
        <f t="shared" ref="EZ173" si="811">EW173+EY173</f>
        <v>0</v>
      </c>
      <c r="FC173" s="15">
        <f t="shared" ref="FC173" si="812">EZ173+FB173</f>
        <v>0</v>
      </c>
      <c r="FF173" s="15">
        <f t="shared" ref="FF173" si="813">FC173+FE173</f>
        <v>0</v>
      </c>
      <c r="FI173" s="15">
        <f t="shared" ref="FI173" si="814">FF173+FH173</f>
        <v>0</v>
      </c>
      <c r="FL173" s="15">
        <f t="shared" ref="FL173" si="815">FI173+FK173</f>
        <v>0</v>
      </c>
      <c r="FO173" s="15">
        <f t="shared" ref="FO173" si="816">FL173+FN173</f>
        <v>0</v>
      </c>
      <c r="FR173" s="15">
        <v>0</v>
      </c>
      <c r="FZ173" s="15">
        <f>FV173+FY173</f>
        <v>0</v>
      </c>
      <c r="GB173" s="15"/>
      <c r="GC173" s="15">
        <f>FZ173+GB173</f>
        <v>0</v>
      </c>
      <c r="GE173" s="15"/>
      <c r="GF173" s="15">
        <f>GC173+GE173</f>
        <v>0</v>
      </c>
      <c r="GH173" s="15"/>
      <c r="GI173" s="15">
        <f>GF173+GH173</f>
        <v>0</v>
      </c>
      <c r="GK173" s="15"/>
      <c r="GL173" s="15">
        <f>GI173+GK173</f>
        <v>0</v>
      </c>
      <c r="GN173" s="15"/>
      <c r="GO173" s="15">
        <f>GL173+GN173</f>
        <v>0</v>
      </c>
      <c r="GQ173" s="15"/>
      <c r="GR173" s="15">
        <f>GO173+GQ173</f>
        <v>0</v>
      </c>
      <c r="GT173" s="15"/>
      <c r="GU173" s="15">
        <f>GR173+GT173</f>
        <v>0</v>
      </c>
      <c r="GW173" s="15"/>
      <c r="GX173" s="15">
        <f>GU173+GW173</f>
        <v>0</v>
      </c>
      <c r="GZ173" s="15"/>
      <c r="HA173" s="189">
        <f>GX173+GZ173</f>
        <v>0</v>
      </c>
      <c r="HE173" s="15">
        <v>0</v>
      </c>
    </row>
    <row r="174" spans="1:214" outlineLevel="1">
      <c r="A174" s="1" t="s">
        <v>179</v>
      </c>
      <c r="B174" s="4" t="s">
        <v>46</v>
      </c>
      <c r="C174" s="4" t="s">
        <v>180</v>
      </c>
      <c r="D174" s="43">
        <v>185000</v>
      </c>
      <c r="E174" s="34">
        <v>102.38</v>
      </c>
      <c r="F174" s="43">
        <v>235000</v>
      </c>
      <c r="G174" s="34">
        <v>80.599999999999994</v>
      </c>
      <c r="H174" s="46">
        <v>189400.07</v>
      </c>
      <c r="I174" s="36"/>
      <c r="J174" s="14"/>
      <c r="Y174" s="118"/>
      <c r="AF174" s="182"/>
      <c r="AH174" s="15"/>
      <c r="AX174" s="15"/>
      <c r="BD174" s="15"/>
      <c r="BG174" s="15"/>
      <c r="DE174" s="15"/>
      <c r="DH174" s="15"/>
      <c r="DK174" s="15"/>
      <c r="DN174" s="15"/>
      <c r="DQ174" s="15"/>
      <c r="DT174" s="15"/>
      <c r="DW174" s="15"/>
      <c r="DZ174" s="15"/>
      <c r="EC174" s="15"/>
      <c r="EF174" s="15"/>
      <c r="EK174" s="15"/>
      <c r="EM174" s="15"/>
      <c r="EP174" s="15"/>
      <c r="ES174" s="15"/>
      <c r="GB174" s="15"/>
      <c r="GE174" s="15"/>
      <c r="GH174" s="15"/>
      <c r="GK174" s="15"/>
      <c r="GN174" s="15"/>
      <c r="GQ174" s="15"/>
      <c r="GT174" s="15"/>
      <c r="GW174" s="15"/>
      <c r="GZ174" s="15"/>
    </row>
    <row r="175" spans="1:214" outlineLevel="1">
      <c r="A175" s="1" t="s">
        <v>181</v>
      </c>
      <c r="B175" s="1" t="s">
        <v>115</v>
      </c>
      <c r="C175" s="4" t="s">
        <v>116</v>
      </c>
      <c r="D175" s="43">
        <v>1000</v>
      </c>
      <c r="E175" s="34">
        <v>1136.46</v>
      </c>
      <c r="F175" s="43">
        <v>30000</v>
      </c>
      <c r="G175" s="34">
        <v>37.880000000000003</v>
      </c>
      <c r="H175" s="46">
        <v>11364.6</v>
      </c>
      <c r="I175" s="36">
        <v>15000</v>
      </c>
      <c r="J175" s="14"/>
      <c r="K175" t="s">
        <v>332</v>
      </c>
      <c r="L175" s="118">
        <v>15000</v>
      </c>
      <c r="M175" s="17">
        <f>L175/F175-1</f>
        <v>-0.5</v>
      </c>
      <c r="N175" s="17">
        <f>L175/I175-1</f>
        <v>0</v>
      </c>
      <c r="Q175" s="118">
        <v>15000</v>
      </c>
      <c r="R175" s="15">
        <v>8659</v>
      </c>
      <c r="S175" s="118">
        <v>16000</v>
      </c>
      <c r="T175" s="15">
        <f>S175-Q175</f>
        <v>1000</v>
      </c>
      <c r="U175" s="16">
        <f>S175/Q175-1</f>
        <v>6.6666666666666652E-2</v>
      </c>
      <c r="Y175" s="118">
        <v>16000</v>
      </c>
      <c r="AA175" s="118">
        <v>25000</v>
      </c>
      <c r="AB175" s="185">
        <f t="shared" ref="AB175:AB176" si="817">AA175-Y175</f>
        <v>9000</v>
      </c>
      <c r="AC175" s="187">
        <f t="shared" ref="AC175" si="818">AA175-Y175</f>
        <v>9000</v>
      </c>
      <c r="AD175" s="187"/>
      <c r="AE175" s="118">
        <v>25000</v>
      </c>
      <c r="AF175" s="182"/>
      <c r="AH175" s="15">
        <v>22945.57</v>
      </c>
      <c r="AI175" s="17">
        <f t="shared" ref="AI175" si="819">AH175/AE175</f>
        <v>0.91782279999999994</v>
      </c>
      <c r="AK175" s="118">
        <v>25000</v>
      </c>
      <c r="AS175" s="15">
        <f t="shared" ref="AS175:AS176" si="820">AR175+AK175</f>
        <v>25000</v>
      </c>
      <c r="AV175" s="15">
        <f t="shared" ref="AV175:AV176" si="821">AS175+AU175</f>
        <v>25000</v>
      </c>
      <c r="AX175" s="15"/>
      <c r="AY175" s="15">
        <f t="shared" ref="AY175:AY176" si="822">AV175+AX175</f>
        <v>25000</v>
      </c>
      <c r="BB175" s="15">
        <f t="shared" ref="BB175:BB176" si="823">AY175+BA175</f>
        <v>25000</v>
      </c>
      <c r="BD175" s="15">
        <v>-5000</v>
      </c>
      <c r="BE175" s="15">
        <f t="shared" ref="BE175:BE176" si="824">BB175+BD175</f>
        <v>20000</v>
      </c>
      <c r="BG175" s="15"/>
      <c r="BH175" s="15">
        <f t="shared" ref="BH175:BH176" si="825">BE175+BG175</f>
        <v>20000</v>
      </c>
      <c r="BJ175" s="15">
        <v>18299.57</v>
      </c>
      <c r="BK175" s="235">
        <f t="shared" ref="BK175" si="826">BJ175/BH175</f>
        <v>0.91497850000000003</v>
      </c>
      <c r="BM175" s="15">
        <v>25000</v>
      </c>
      <c r="BN175" s="235">
        <f t="shared" ref="BN175" si="827">BM175/BJ175</f>
        <v>1.3661523194260849</v>
      </c>
      <c r="BO175" s="235">
        <f t="shared" ref="BO175" si="828">BM175/BH175</f>
        <v>1.25</v>
      </c>
      <c r="BQ175" s="15"/>
      <c r="BR175" s="15">
        <f t="shared" ref="BR175" si="829">BM175+BQ175</f>
        <v>25000</v>
      </c>
      <c r="BT175" s="15"/>
      <c r="BU175" s="15">
        <f>BR175+BT175</f>
        <v>25000</v>
      </c>
      <c r="BW175" s="15"/>
      <c r="BX175" s="15">
        <f>BU175+BW175</f>
        <v>25000</v>
      </c>
      <c r="BZ175" s="15"/>
      <c r="CA175" s="15">
        <f>BX175+BZ175</f>
        <v>25000</v>
      </c>
      <c r="CC175" s="15"/>
      <c r="CD175" s="15">
        <f>CA175+CC175</f>
        <v>25000</v>
      </c>
      <c r="CF175" s="15"/>
      <c r="CG175" s="15">
        <f>CD175+CF175</f>
        <v>25000</v>
      </c>
      <c r="CI175" s="15"/>
      <c r="CJ175" s="15">
        <f>CG175+CI175</f>
        <v>25000</v>
      </c>
      <c r="CM175" s="15">
        <f>CJ175+CL175</f>
        <v>25000</v>
      </c>
      <c r="CO175" s="15">
        <v>2000</v>
      </c>
      <c r="CP175" s="15">
        <f>CM175+CO175</f>
        <v>27000</v>
      </c>
      <c r="CS175" s="15">
        <f>CP175+CR175</f>
        <v>27000</v>
      </c>
      <c r="CU175" s="227">
        <v>1500</v>
      </c>
      <c r="CV175" s="15">
        <f>CS175+CU175</f>
        <v>28500</v>
      </c>
      <c r="CX175" s="227"/>
      <c r="CY175" s="15">
        <f>CV175+CX175</f>
        <v>28500</v>
      </c>
      <c r="DA175" s="15">
        <v>28300.639999999999</v>
      </c>
      <c r="DC175" s="15">
        <v>35000</v>
      </c>
      <c r="DE175" s="15"/>
      <c r="DF175" s="15">
        <f t="shared" ref="DF175:DF176" si="830">DC175+DE175</f>
        <v>35000</v>
      </c>
      <c r="DH175" s="15"/>
      <c r="DI175" s="15">
        <f t="shared" ref="DI175:DI176" si="831">DF175+DH175</f>
        <v>35000</v>
      </c>
      <c r="DK175" s="15"/>
      <c r="DL175" s="15">
        <f t="shared" ref="DL175:DL176" si="832">DI175+DK175</f>
        <v>35000</v>
      </c>
      <c r="DN175" s="15"/>
      <c r="DO175" s="15">
        <f t="shared" ref="DO175:DO176" si="833">DL175+DN175</f>
        <v>35000</v>
      </c>
      <c r="DQ175" s="15"/>
      <c r="DR175" s="15">
        <f t="shared" ref="DR175:DR176" si="834">DO175+DQ175</f>
        <v>35000</v>
      </c>
      <c r="DT175" s="15"/>
      <c r="DU175" s="15">
        <f t="shared" ref="DU175:DU176" si="835">DR175+DT175</f>
        <v>35000</v>
      </c>
      <c r="DW175" s="15"/>
      <c r="DX175" s="15">
        <f t="shared" ref="DX175:DX176" si="836">DU175+DW175</f>
        <v>35000</v>
      </c>
      <c r="DZ175" s="15"/>
      <c r="EA175" s="15">
        <f t="shared" ref="EA175:EA176" si="837">DX175+DZ175</f>
        <v>35000</v>
      </c>
      <c r="EC175" s="227">
        <v>15000</v>
      </c>
      <c r="ED175" s="15">
        <f t="shared" ref="ED175:ED176" si="838">EA175+EC175</f>
        <v>50000</v>
      </c>
      <c r="EF175" s="227">
        <v>2000</v>
      </c>
      <c r="EG175" s="15">
        <f t="shared" ref="EG175:EG176" si="839">ED175+EF175</f>
        <v>52000</v>
      </c>
      <c r="EI175" s="15">
        <v>48372.22</v>
      </c>
      <c r="EK175" s="15">
        <v>50000</v>
      </c>
      <c r="EM175" s="15"/>
      <c r="EN175" s="15">
        <f t="shared" ref="EN175:EN176" si="840">EK175+EM175</f>
        <v>50000</v>
      </c>
      <c r="EP175" s="15"/>
      <c r="EQ175" s="15">
        <f t="shared" ref="EQ175:EQ176" si="841">EN175+EP175</f>
        <v>50000</v>
      </c>
      <c r="ES175" s="15"/>
      <c r="ET175" s="15">
        <f t="shared" ref="ET175:ET176" si="842">EQ175+ES175</f>
        <v>50000</v>
      </c>
      <c r="EW175" s="15">
        <f t="shared" ref="EW175:EW176" si="843">ET175+EV175</f>
        <v>50000</v>
      </c>
      <c r="EZ175" s="15">
        <f t="shared" ref="EZ175:EZ176" si="844">EW175+EY175</f>
        <v>50000</v>
      </c>
      <c r="FB175" s="227">
        <v>15000</v>
      </c>
      <c r="FC175" s="15">
        <f t="shared" ref="FC175:FC176" si="845">EZ175+FB175</f>
        <v>65000</v>
      </c>
      <c r="FF175" s="15">
        <f t="shared" ref="FF175:FF176" si="846">FC175+FE175</f>
        <v>65000</v>
      </c>
      <c r="FI175" s="15">
        <f t="shared" ref="FI175:FI176" si="847">FF175+FH175</f>
        <v>65000</v>
      </c>
      <c r="FK175" s="227">
        <v>-15000</v>
      </c>
      <c r="FL175" s="15">
        <f t="shared" ref="FL175:FL176" si="848">FI175+FK175</f>
        <v>50000</v>
      </c>
      <c r="FN175" s="227">
        <v>7000</v>
      </c>
      <c r="FO175" s="15">
        <f t="shared" ref="FO175:FO176" si="849">FL175+FN175</f>
        <v>57000</v>
      </c>
      <c r="FQ175" s="227">
        <v>3600</v>
      </c>
      <c r="FR175" s="15">
        <v>60600</v>
      </c>
      <c r="FT175" s="15">
        <v>60581.88</v>
      </c>
      <c r="FV175" s="15">
        <v>65000</v>
      </c>
      <c r="FW175" s="235">
        <f t="shared" ref="FW175" si="850">FV175/FT175</f>
        <v>1.0729280768440994</v>
      </c>
      <c r="FZ175" s="15">
        <f>FV175+FY175</f>
        <v>65000</v>
      </c>
      <c r="GB175" s="15"/>
      <c r="GC175" s="15">
        <f>FZ175+GB175</f>
        <v>65000</v>
      </c>
      <c r="GE175" s="227">
        <v>40000</v>
      </c>
      <c r="GF175" s="15">
        <f>GC175+GE175</f>
        <v>105000</v>
      </c>
      <c r="GH175" s="15"/>
      <c r="GI175" s="15">
        <f>GF175+GH175</f>
        <v>105000</v>
      </c>
      <c r="GK175" s="15"/>
      <c r="GL175" s="15">
        <f>GI175+GK175</f>
        <v>105000</v>
      </c>
      <c r="GN175" s="15"/>
      <c r="GO175" s="15">
        <f>GL175+GN175</f>
        <v>105000</v>
      </c>
      <c r="GQ175" s="15"/>
      <c r="GR175" s="15">
        <f>GO175+GQ175</f>
        <v>105000</v>
      </c>
      <c r="GT175" s="15"/>
      <c r="GU175" s="15">
        <f>GR175+GT175</f>
        <v>105000</v>
      </c>
      <c r="GW175" s="227">
        <v>15000</v>
      </c>
      <c r="GX175" s="15">
        <f>GU175+GW175</f>
        <v>120000</v>
      </c>
      <c r="GZ175" s="15"/>
      <c r="HA175" s="189">
        <f>GX175+GZ175</f>
        <v>120000</v>
      </c>
      <c r="HC175" s="189">
        <v>108373.27</v>
      </c>
      <c r="HE175" s="15">
        <v>120000</v>
      </c>
      <c r="HF175" s="235">
        <f>HE175/HC175</f>
        <v>1.1072841116633281</v>
      </c>
    </row>
    <row r="176" spans="1:214" outlineLevel="1">
      <c r="A176" s="1" t="s">
        <v>181</v>
      </c>
      <c r="B176" s="1" t="s">
        <v>199</v>
      </c>
      <c r="C176" s="4" t="s">
        <v>200</v>
      </c>
      <c r="D176" s="43"/>
      <c r="E176" s="34"/>
      <c r="F176" s="43"/>
      <c r="G176" s="34"/>
      <c r="H176" s="46"/>
      <c r="I176" s="36"/>
      <c r="J176" s="14"/>
      <c r="L176" s="118">
        <f>'[2]2020'!$Q$60</f>
        <v>100000</v>
      </c>
      <c r="M176" s="17" t="e">
        <f>L176/F176-1</f>
        <v>#DIV/0!</v>
      </c>
      <c r="N176" s="17" t="e">
        <f>L176/I176-1</f>
        <v>#DIV/0!</v>
      </c>
      <c r="Q176" s="118">
        <v>100000</v>
      </c>
      <c r="R176" s="15">
        <v>0</v>
      </c>
      <c r="S176" s="118">
        <v>0</v>
      </c>
      <c r="T176" s="15">
        <f>S176-Q176</f>
        <v>-100000</v>
      </c>
      <c r="U176" s="16">
        <f>S176/Q176-1</f>
        <v>-1</v>
      </c>
      <c r="Y176" s="118">
        <v>0</v>
      </c>
      <c r="AA176" s="118">
        <v>0</v>
      </c>
      <c r="AB176" s="185">
        <f t="shared" si="817"/>
        <v>0</v>
      </c>
      <c r="AE176" s="118">
        <v>0</v>
      </c>
      <c r="AF176" s="182"/>
      <c r="AH176" s="15">
        <v>0</v>
      </c>
      <c r="AK176" s="118">
        <f>'[4]2020'!$AM$60+700</f>
        <v>24700</v>
      </c>
      <c r="AS176" s="15">
        <f t="shared" si="820"/>
        <v>24700</v>
      </c>
      <c r="AV176" s="15">
        <f t="shared" si="821"/>
        <v>24700</v>
      </c>
      <c r="AX176" s="15"/>
      <c r="AY176" s="15">
        <f t="shared" si="822"/>
        <v>24700</v>
      </c>
      <c r="BB176" s="15">
        <f t="shared" si="823"/>
        <v>24700</v>
      </c>
      <c r="BD176" s="15">
        <v>-24700</v>
      </c>
      <c r="BE176" s="15">
        <f t="shared" si="824"/>
        <v>0</v>
      </c>
      <c r="BG176" s="15"/>
      <c r="BH176" s="15">
        <f t="shared" si="825"/>
        <v>0</v>
      </c>
      <c r="BM176" s="15"/>
      <c r="BN176" s="235" t="e">
        <f t="shared" ref="BN176" si="851">BM176/BJ176</f>
        <v>#DIV/0!</v>
      </c>
      <c r="BO176" s="235" t="e">
        <f t="shared" ref="BO176" si="852">BM176/BH176</f>
        <v>#DIV/0!</v>
      </c>
      <c r="BQ176" s="15"/>
      <c r="BR176" s="15"/>
      <c r="BT176" s="15"/>
      <c r="BU176" s="15"/>
      <c r="BW176" s="15"/>
      <c r="BX176" s="15"/>
      <c r="BZ176" s="15"/>
      <c r="CA176" s="15"/>
      <c r="CC176" s="15"/>
      <c r="CD176" s="15"/>
      <c r="CF176" s="15"/>
      <c r="CG176" s="15"/>
      <c r="CI176" s="15"/>
      <c r="CJ176" s="15"/>
      <c r="CM176" s="15"/>
      <c r="CP176" s="15"/>
      <c r="CS176" s="15"/>
      <c r="CV176" s="15"/>
      <c r="CY176" s="15"/>
      <c r="DE176" s="15"/>
      <c r="DF176" s="15">
        <f t="shared" si="830"/>
        <v>0</v>
      </c>
      <c r="DH176" s="15"/>
      <c r="DI176" s="15">
        <f t="shared" si="831"/>
        <v>0</v>
      </c>
      <c r="DK176" s="15"/>
      <c r="DL176" s="15">
        <f t="shared" si="832"/>
        <v>0</v>
      </c>
      <c r="DN176" s="15"/>
      <c r="DO176" s="15">
        <f t="shared" si="833"/>
        <v>0</v>
      </c>
      <c r="DQ176" s="15"/>
      <c r="DR176" s="15">
        <f t="shared" si="834"/>
        <v>0</v>
      </c>
      <c r="DT176" s="15"/>
      <c r="DU176" s="15">
        <f t="shared" si="835"/>
        <v>0</v>
      </c>
      <c r="DW176" s="15"/>
      <c r="DX176" s="15">
        <f t="shared" si="836"/>
        <v>0</v>
      </c>
      <c r="DZ176" s="15"/>
      <c r="EA176" s="15">
        <f t="shared" si="837"/>
        <v>0</v>
      </c>
      <c r="EC176" s="15"/>
      <c r="ED176" s="15">
        <f t="shared" si="838"/>
        <v>0</v>
      </c>
      <c r="EF176" s="15"/>
      <c r="EG176" s="15">
        <f t="shared" si="839"/>
        <v>0</v>
      </c>
      <c r="EK176" s="15"/>
      <c r="EM176" s="15"/>
      <c r="EN176" s="15">
        <f t="shared" si="840"/>
        <v>0</v>
      </c>
      <c r="EP176" s="15"/>
      <c r="EQ176" s="15">
        <f t="shared" si="841"/>
        <v>0</v>
      </c>
      <c r="ES176" s="15"/>
      <c r="ET176" s="15">
        <f t="shared" si="842"/>
        <v>0</v>
      </c>
      <c r="EW176" s="15">
        <f t="shared" si="843"/>
        <v>0</v>
      </c>
      <c r="EZ176" s="15">
        <f t="shared" si="844"/>
        <v>0</v>
      </c>
      <c r="FC176" s="15">
        <f t="shared" si="845"/>
        <v>0</v>
      </c>
      <c r="FF176" s="15">
        <f t="shared" si="846"/>
        <v>0</v>
      </c>
      <c r="FI176" s="15">
        <f t="shared" si="847"/>
        <v>0</v>
      </c>
      <c r="FL176" s="15">
        <f t="shared" si="848"/>
        <v>0</v>
      </c>
      <c r="FO176" s="15">
        <f t="shared" si="849"/>
        <v>0</v>
      </c>
      <c r="FR176" s="15">
        <v>0</v>
      </c>
      <c r="FZ176" s="15">
        <f>FV176+FY176</f>
        <v>0</v>
      </c>
      <c r="GB176" s="15"/>
      <c r="GC176" s="15">
        <f>FZ176+GB176</f>
        <v>0</v>
      </c>
      <c r="GE176" s="15"/>
      <c r="GF176" s="15">
        <f>GC176+GE176</f>
        <v>0</v>
      </c>
      <c r="GH176" s="15"/>
      <c r="GI176" s="15">
        <f>GF176+GH176</f>
        <v>0</v>
      </c>
      <c r="GK176" s="15"/>
      <c r="GL176" s="15">
        <f>GI176+GK176</f>
        <v>0</v>
      </c>
      <c r="GN176" s="15"/>
      <c r="GO176" s="15">
        <f>GL176+GN176</f>
        <v>0</v>
      </c>
      <c r="GQ176" s="15"/>
      <c r="GR176" s="15">
        <f>GO176+GQ176</f>
        <v>0</v>
      </c>
      <c r="GT176" s="15"/>
      <c r="GU176" s="15">
        <f>GR176+GT176</f>
        <v>0</v>
      </c>
      <c r="GW176" s="15"/>
      <c r="GX176" s="15">
        <f>GU176+GW176</f>
        <v>0</v>
      </c>
      <c r="GZ176" s="15"/>
      <c r="HA176" s="189">
        <f>GX176+GZ176</f>
        <v>0</v>
      </c>
      <c r="HE176" s="15">
        <v>0</v>
      </c>
    </row>
    <row r="177" spans="1:214" outlineLevel="1">
      <c r="A177" s="1" t="s">
        <v>181</v>
      </c>
      <c r="B177" s="4" t="s">
        <v>46</v>
      </c>
      <c r="C177" s="4" t="s">
        <v>182</v>
      </c>
      <c r="D177" s="43">
        <v>1000</v>
      </c>
      <c r="E177" s="34">
        <v>1136.46</v>
      </c>
      <c r="F177" s="43">
        <v>30000</v>
      </c>
      <c r="G177" s="34">
        <v>37.880000000000003</v>
      </c>
      <c r="H177" s="46">
        <v>11364.6</v>
      </c>
      <c r="I177" s="36"/>
      <c r="J177" s="14"/>
      <c r="Y177" s="118"/>
      <c r="AF177" s="182"/>
      <c r="AH177" s="15"/>
      <c r="AX177" s="15"/>
      <c r="BD177" s="15"/>
      <c r="BG177" s="15"/>
      <c r="DE177" s="15"/>
      <c r="DH177" s="15"/>
      <c r="DK177" s="15"/>
      <c r="DN177" s="15"/>
      <c r="DQ177" s="15"/>
      <c r="DT177" s="15"/>
      <c r="DW177" s="15"/>
      <c r="DZ177" s="15"/>
      <c r="EC177" s="15"/>
      <c r="EF177" s="15"/>
      <c r="EK177" s="15"/>
      <c r="EM177" s="15"/>
      <c r="EP177" s="15"/>
      <c r="ES177" s="15"/>
      <c r="GB177" s="15"/>
      <c r="GE177" s="15"/>
      <c r="GH177" s="15"/>
      <c r="GK177" s="15"/>
      <c r="GN177" s="15"/>
      <c r="GQ177" s="15"/>
      <c r="GT177" s="15"/>
      <c r="GW177" s="15"/>
      <c r="GZ177" s="15"/>
    </row>
    <row r="178" spans="1:214" outlineLevel="1">
      <c r="A178" s="1" t="s">
        <v>69</v>
      </c>
      <c r="B178" s="4" t="s">
        <v>48</v>
      </c>
      <c r="C178" s="4" t="s">
        <v>70</v>
      </c>
      <c r="D178" s="43">
        <v>198000</v>
      </c>
      <c r="E178" s="34">
        <v>105.79</v>
      </c>
      <c r="F178" s="43">
        <v>277000</v>
      </c>
      <c r="G178" s="34">
        <v>75.62</v>
      </c>
      <c r="H178" s="46">
        <v>209465.67</v>
      </c>
      <c r="I178" s="36"/>
      <c r="J178" s="14"/>
      <c r="Y178" s="118"/>
      <c r="AF178" s="182"/>
      <c r="AH178" s="15"/>
      <c r="AX178" s="15"/>
      <c r="BD178" s="15"/>
      <c r="BG178" s="15"/>
      <c r="DE178" s="15"/>
      <c r="DH178" s="15"/>
      <c r="DK178" s="15"/>
      <c r="DN178" s="15"/>
      <c r="DQ178" s="15"/>
      <c r="DT178" s="15"/>
      <c r="DW178" s="15"/>
      <c r="DZ178" s="15"/>
      <c r="EC178" s="15"/>
      <c r="EF178" s="15"/>
      <c r="EK178" s="15"/>
      <c r="EM178" s="15"/>
      <c r="EP178" s="15"/>
      <c r="ES178" s="15"/>
      <c r="GB178" s="15"/>
      <c r="GE178" s="15"/>
      <c r="GH178" s="15"/>
      <c r="GK178" s="15"/>
      <c r="GN178" s="15"/>
      <c r="GQ178" s="15"/>
      <c r="GT178" s="15"/>
      <c r="GW178" s="15"/>
      <c r="GZ178" s="15"/>
    </row>
    <row r="179" spans="1:214" ht="15" customHeight="1" thickBot="1">
      <c r="A179" s="54" t="s">
        <v>181</v>
      </c>
      <c r="B179" s="55" t="s">
        <v>316</v>
      </c>
      <c r="C179" s="56" t="s">
        <v>341</v>
      </c>
      <c r="D179" s="57">
        <f>D169+D172+D175</f>
        <v>198000</v>
      </c>
      <c r="E179" s="58"/>
      <c r="F179" s="57">
        <f>F169+F172+F175</f>
        <v>277000</v>
      </c>
      <c r="G179" s="58"/>
      <c r="H179" s="57"/>
      <c r="I179" s="57">
        <f>I169+I172+I175</f>
        <v>277000</v>
      </c>
      <c r="J179" s="138" t="e">
        <f>I179/$I$350</f>
        <v>#REF!</v>
      </c>
      <c r="K179" s="60"/>
      <c r="L179" s="122">
        <f>L169+L172+L175</f>
        <v>300000</v>
      </c>
      <c r="M179" s="61">
        <f t="shared" ref="M179:M198" si="853">L179/F179-1</f>
        <v>8.3032490974729312E-2</v>
      </c>
      <c r="N179" s="61">
        <f t="shared" ref="N179:N198" si="854">L179/I179-1</f>
        <v>8.3032490974729312E-2</v>
      </c>
      <c r="O179" s="17">
        <f>L179/$L$350</f>
        <v>6.9605569737458378E-2</v>
      </c>
      <c r="P179" s="17"/>
      <c r="Q179" s="122">
        <f>Q169+Q172+Q175</f>
        <v>300000</v>
      </c>
      <c r="R179" s="122">
        <f>R169+R172+R175</f>
        <v>141828</v>
      </c>
      <c r="S179" s="122">
        <f>S169+S172+S175</f>
        <v>286000</v>
      </c>
      <c r="T179" s="122">
        <f>T169+T172+T175</f>
        <v>-14000</v>
      </c>
      <c r="U179" s="155">
        <f>S179/Q179-1</f>
        <v>-4.6666666666666634E-2</v>
      </c>
      <c r="Y179" s="122">
        <f>Y169+Y172+Y175</f>
        <v>286000</v>
      </c>
      <c r="AA179" s="122">
        <f>AA169+AA172+AA175</f>
        <v>293500</v>
      </c>
      <c r="AB179" s="122">
        <f>AB169+AB172+AB175</f>
        <v>7500</v>
      </c>
      <c r="AE179" s="122">
        <f>AE169+AE172+AE175</f>
        <v>293500</v>
      </c>
      <c r="AF179" s="182"/>
      <c r="AH179" s="122">
        <f>AH169+AH172+AH175</f>
        <v>264179.46999999997</v>
      </c>
      <c r="AI179" s="17">
        <f t="shared" ref="AI179" si="855">AH179/AE179</f>
        <v>0.90010040885860298</v>
      </c>
      <c r="AK179" s="122">
        <f>AK169+AK172+AK175</f>
        <v>280500</v>
      </c>
      <c r="AL179" s="193">
        <f t="shared" ref="AL179:AL180" si="856">AK179/L179</f>
        <v>0.93500000000000005</v>
      </c>
      <c r="AM179" s="17">
        <f>AK179/AE179</f>
        <v>0.95570698466780235</v>
      </c>
      <c r="AN179" s="17">
        <f>AK179/AH179</f>
        <v>1.0617781919238465</v>
      </c>
      <c r="AS179" s="122">
        <f>AS169+AS172+AS175</f>
        <v>280500</v>
      </c>
      <c r="AU179" s="122">
        <f>AU169+AU172+AU175</f>
        <v>0</v>
      </c>
      <c r="AV179" s="122">
        <f>AV169+AV172+AV175</f>
        <v>280500</v>
      </c>
      <c r="AX179" s="122">
        <f>AX169+AX172+AX175</f>
        <v>0</v>
      </c>
      <c r="AY179" s="122">
        <f>AY169+AY172+AY175</f>
        <v>280500</v>
      </c>
      <c r="BA179" s="122">
        <f>BA169+BA172+BA175</f>
        <v>0</v>
      </c>
      <c r="BB179" s="122">
        <f>BB169+BB172+BB175</f>
        <v>280500</v>
      </c>
      <c r="BD179" s="122">
        <f>BD169+BD172+BD175</f>
        <v>-33000</v>
      </c>
      <c r="BE179" s="122">
        <f>BE169+BE172+BE175</f>
        <v>247500</v>
      </c>
      <c r="BG179" s="122">
        <f>BG169+BG172+BG175</f>
        <v>2500</v>
      </c>
      <c r="BH179" s="122">
        <f>BH169+BH172+BH175</f>
        <v>250000</v>
      </c>
      <c r="BJ179" s="122">
        <f>BJ169+BJ172+BJ175</f>
        <v>246616.06</v>
      </c>
      <c r="BK179" s="236">
        <f t="shared" ref="BK179:BK180" si="857">BJ179/BH179</f>
        <v>0.98646423999999999</v>
      </c>
      <c r="BM179" s="122">
        <f>BM169+BM172+BM175</f>
        <v>338000</v>
      </c>
      <c r="BN179" s="236">
        <f t="shared" ref="BN179:BN180" si="858">BM179/BJ179</f>
        <v>1.3705514555702496</v>
      </c>
      <c r="BO179" s="236">
        <f t="shared" ref="BO179:BO180" si="859">BM179/BH179</f>
        <v>1.3520000000000001</v>
      </c>
      <c r="BQ179" s="122">
        <f>BQ169+BQ172+BQ175</f>
        <v>0</v>
      </c>
      <c r="BR179" s="122">
        <f>BR169+BR172+BR175</f>
        <v>338000</v>
      </c>
      <c r="BT179" s="122">
        <f>BT169+BT172+BT175</f>
        <v>0</v>
      </c>
      <c r="BU179" s="122">
        <f>BU169+BU172+BU175</f>
        <v>338000</v>
      </c>
      <c r="BW179" s="122">
        <f>BW169+BW172+BW175</f>
        <v>0</v>
      </c>
      <c r="BX179" s="122">
        <f>BX169+BX172+BX175</f>
        <v>338000</v>
      </c>
      <c r="BZ179" s="122">
        <f>BZ169+BZ172+BZ175</f>
        <v>0</v>
      </c>
      <c r="CA179" s="122">
        <f>CA169+CA172+CA175</f>
        <v>338000</v>
      </c>
      <c r="CC179" s="122">
        <f>CC169+CC172+CC175</f>
        <v>0</v>
      </c>
      <c r="CD179" s="122">
        <f>CD169+CD172+CD175</f>
        <v>338000</v>
      </c>
      <c r="CF179" s="122">
        <f>CF169+CF172+CF175</f>
        <v>0</v>
      </c>
      <c r="CG179" s="122">
        <f>CG169+CG172+CG175</f>
        <v>338000</v>
      </c>
      <c r="CI179" s="122">
        <f>CI169+CI172+CI175</f>
        <v>0</v>
      </c>
      <c r="CJ179" s="122">
        <f>CJ169+CJ172+CJ175</f>
        <v>338000</v>
      </c>
      <c r="CL179" s="319">
        <f>CL169+CL172+CL175</f>
        <v>0</v>
      </c>
      <c r="CM179" s="122">
        <f>CM169+CM172+CM175</f>
        <v>338000</v>
      </c>
      <c r="CO179" s="122">
        <f>CO169+CO172+CO175</f>
        <v>35000</v>
      </c>
      <c r="CP179" s="122">
        <f>CP169+CP172+CP175</f>
        <v>373000</v>
      </c>
      <c r="CR179" s="122">
        <f>CR169+CR172+CR175</f>
        <v>0</v>
      </c>
      <c r="CS179" s="122">
        <f>CS169+CS172+CS175</f>
        <v>373000</v>
      </c>
      <c r="CU179" s="122">
        <f>CU169+CU172+CU175</f>
        <v>1500</v>
      </c>
      <c r="CV179" s="122">
        <f>CV169+CV172+CV175</f>
        <v>374500</v>
      </c>
      <c r="CX179" s="122">
        <f>CX169+CX172+CX175</f>
        <v>0</v>
      </c>
      <c r="CY179" s="122">
        <f>CY169+CY172+CY175</f>
        <v>374500</v>
      </c>
      <c r="DA179" s="122">
        <f>DA169+DA172+DA175</f>
        <v>372449.01</v>
      </c>
      <c r="DC179" s="122">
        <f>DC169+DC172+DC175</f>
        <v>439000</v>
      </c>
      <c r="DE179" s="122">
        <f>DE169+DE172+DE175</f>
        <v>0</v>
      </c>
      <c r="DF179" s="122">
        <f>DF169+DF172+DF175</f>
        <v>439000</v>
      </c>
      <c r="DH179" s="122">
        <f>DH169+DH172+DH175</f>
        <v>0</v>
      </c>
      <c r="DI179" s="122">
        <f>DI169+DI172+DI175</f>
        <v>439000</v>
      </c>
      <c r="DK179" s="122">
        <f>DK169+DK172+DK175</f>
        <v>0</v>
      </c>
      <c r="DL179" s="122">
        <f>DL169+DL172+DL175</f>
        <v>439000</v>
      </c>
      <c r="DN179" s="122">
        <f>DN169+DN172+DN175</f>
        <v>0</v>
      </c>
      <c r="DO179" s="122">
        <f>DO169+DO172+DO175</f>
        <v>439000</v>
      </c>
      <c r="DQ179" s="122">
        <f>DQ169+DQ172+DQ175</f>
        <v>0</v>
      </c>
      <c r="DR179" s="122">
        <f>DR169+DR172+DR175</f>
        <v>439000</v>
      </c>
      <c r="DT179" s="122">
        <f>DT169+DT172+DT175</f>
        <v>0</v>
      </c>
      <c r="DU179" s="122">
        <f>DU169+DU172+DU175</f>
        <v>439000</v>
      </c>
      <c r="DW179" s="122">
        <f>DW169+DW172+DW175</f>
        <v>0</v>
      </c>
      <c r="DX179" s="122">
        <f>DX169+DX172+DX175</f>
        <v>439000</v>
      </c>
      <c r="DZ179" s="122">
        <f>DZ169+DZ172+DZ175</f>
        <v>750</v>
      </c>
      <c r="EA179" s="122">
        <f>EA169+EA172+EA175</f>
        <v>439750</v>
      </c>
      <c r="EC179" s="122">
        <f>EC169+EC172+EC175</f>
        <v>33000</v>
      </c>
      <c r="ED179" s="122">
        <f>ED169+ED172+ED175</f>
        <v>472750</v>
      </c>
      <c r="EF179" s="122">
        <f>EF169+EF172+EF175</f>
        <v>30200</v>
      </c>
      <c r="EG179" s="122">
        <f>EG169+EG172+EG175</f>
        <v>502950</v>
      </c>
      <c r="EI179" s="122">
        <f>EI169+EI172+EI175</f>
        <v>467091.70000000007</v>
      </c>
      <c r="EK179" s="122">
        <f>EK169+EK172+EK175</f>
        <v>528000</v>
      </c>
      <c r="EL179" s="377">
        <f>EK179/EI179-1</f>
        <v>0.13039902014957638</v>
      </c>
      <c r="EM179" s="122">
        <f>EM169+EM172+EM175</f>
        <v>0</v>
      </c>
      <c r="EN179" s="122">
        <f>EN169+EN172+EN175</f>
        <v>528000</v>
      </c>
      <c r="EP179" s="122">
        <f>EP169+EP172+EP175</f>
        <v>0</v>
      </c>
      <c r="EQ179" s="122">
        <f>EQ169+EQ172+EQ175</f>
        <v>528000</v>
      </c>
      <c r="ES179" s="122">
        <f>ES169+ES172+ES175</f>
        <v>0</v>
      </c>
      <c r="ET179" s="122">
        <f>ET169+ET172+ET175</f>
        <v>528000</v>
      </c>
      <c r="EV179" s="122">
        <f>EV169+EV172+EV175</f>
        <v>0</v>
      </c>
      <c r="EW179" s="122">
        <f>EW169+EW172+EW175</f>
        <v>528000</v>
      </c>
      <c r="EY179" s="122">
        <f>EY169+EY172+EY175</f>
        <v>0</v>
      </c>
      <c r="EZ179" s="122">
        <f>EZ169+EZ172+EZ175</f>
        <v>528000</v>
      </c>
      <c r="FB179" s="122">
        <f>FB169+FB172+FB175</f>
        <v>15000</v>
      </c>
      <c r="FC179" s="122">
        <f>FC169+FC172+FC175</f>
        <v>543000</v>
      </c>
      <c r="FE179" s="122">
        <f>FE169+FE172+FE175</f>
        <v>1350</v>
      </c>
      <c r="FF179" s="122">
        <f>FF169+FF172+FF175</f>
        <v>544350</v>
      </c>
      <c r="FH179" s="122">
        <f>FH169+FH172+FH175</f>
        <v>0</v>
      </c>
      <c r="FI179" s="122">
        <f>FI169+FI172+FI175</f>
        <v>544350</v>
      </c>
      <c r="FK179" s="122">
        <f>FK169+FK172+FK175+FK171</f>
        <v>17200</v>
      </c>
      <c r="FL179" s="122">
        <f>FL169+FL172+FL175+FL171</f>
        <v>561550</v>
      </c>
      <c r="FN179" s="122">
        <f>FN169+FN172+FN175+FN171</f>
        <v>7000</v>
      </c>
      <c r="FO179" s="122">
        <f>FO169+FO172+FO175+FO171</f>
        <v>568550</v>
      </c>
      <c r="FQ179" s="122">
        <v>3600</v>
      </c>
      <c r="FR179" s="122">
        <v>572150</v>
      </c>
      <c r="FT179" s="122">
        <f>FT169+FT172+FT175+FT171</f>
        <v>548104.87</v>
      </c>
      <c r="FV179" s="122">
        <f>FV169+FV172+FV175+FV171</f>
        <v>557000</v>
      </c>
      <c r="FW179" s="235">
        <f t="shared" ref="FW179:FW198" si="860">FV179/FT179</f>
        <v>1.0162288833521951</v>
      </c>
      <c r="FY179" s="122">
        <f>FY169+FY172+FY175+FY171</f>
        <v>0</v>
      </c>
      <c r="FZ179" s="122">
        <f>FZ169+FZ172+FZ175+FZ171</f>
        <v>557000</v>
      </c>
      <c r="GB179" s="122">
        <f>GB169+GB172+GB175+GB171</f>
        <v>0</v>
      </c>
      <c r="GC179" s="122">
        <f>GC169+GC172+GC175+GC171</f>
        <v>557000</v>
      </c>
      <c r="GE179" s="122">
        <f>GE169+GE172+GE175+GE171</f>
        <v>45000</v>
      </c>
      <c r="GF179" s="122">
        <f>GF169+GF172+GF175+GF171</f>
        <v>602000</v>
      </c>
      <c r="GH179" s="122">
        <f>GH169+GH172+GH175+GH171</f>
        <v>0</v>
      </c>
      <c r="GI179" s="122">
        <f>GI169+GI172+GI175+GI171</f>
        <v>602000</v>
      </c>
      <c r="GK179" s="122">
        <f>GK169+GK172+GK175+GK171</f>
        <v>0</v>
      </c>
      <c r="GL179" s="122">
        <f>GL169+GL172+GL175+GL171</f>
        <v>602000</v>
      </c>
      <c r="GN179" s="122">
        <f>GN169+GN172+GN175+GN171</f>
        <v>0</v>
      </c>
      <c r="GO179" s="122">
        <f>GO169+GO172+GO175+GO171</f>
        <v>602000</v>
      </c>
      <c r="GQ179" s="122">
        <f>GQ169+GQ172+GQ175+GQ171</f>
        <v>-3000</v>
      </c>
      <c r="GR179" s="122">
        <f>GR169+GR172+GR175+GR171</f>
        <v>599000</v>
      </c>
      <c r="GT179" s="122">
        <f>GT169+GT172+GT175+GT171</f>
        <v>0</v>
      </c>
      <c r="GU179" s="122">
        <f>GU169+GU172+GU175+GU171</f>
        <v>599000</v>
      </c>
      <c r="GW179" s="122">
        <f>GW169+GW172+GW175+GW171</f>
        <v>15000</v>
      </c>
      <c r="GX179" s="122">
        <f>GX169+GX172+GX175+GX171</f>
        <v>614000</v>
      </c>
      <c r="GZ179" s="122">
        <f>GZ169+GZ172+GZ175+GZ171</f>
        <v>0</v>
      </c>
      <c r="HA179" s="430">
        <f>HA169+HA172+HA175+HA171</f>
        <v>614000</v>
      </c>
      <c r="HC179" s="122">
        <f>HC169+HC172+HC175+HC171</f>
        <v>582494.62</v>
      </c>
      <c r="HE179" s="122">
        <f>HE169+HE172+HE175+HE171</f>
        <v>610000</v>
      </c>
      <c r="HF179" s="235">
        <f t="shared" ref="HF179:HF198" si="861">HE179/HC179</f>
        <v>1.0472199726067857</v>
      </c>
    </row>
    <row r="180" spans="1:214" ht="15" customHeight="1" thickTop="1" thickBot="1">
      <c r="A180" s="75" t="s">
        <v>181</v>
      </c>
      <c r="B180" s="76" t="s">
        <v>277</v>
      </c>
      <c r="C180" s="285" t="s">
        <v>347</v>
      </c>
      <c r="D180" s="78">
        <f>D176</f>
        <v>0</v>
      </c>
      <c r="E180" s="79"/>
      <c r="F180" s="78">
        <f>F176</f>
        <v>0</v>
      </c>
      <c r="G180" s="79"/>
      <c r="H180" s="78"/>
      <c r="I180" s="78">
        <f>I176</f>
        <v>0</v>
      </c>
      <c r="J180" s="80"/>
      <c r="K180" s="77"/>
      <c r="L180" s="124">
        <f>L176</f>
        <v>100000</v>
      </c>
      <c r="M180" s="81" t="e">
        <f t="shared" si="853"/>
        <v>#DIV/0!</v>
      </c>
      <c r="N180" s="81" t="e">
        <f t="shared" si="854"/>
        <v>#DIV/0!</v>
      </c>
      <c r="Q180" s="124">
        <f>Q176</f>
        <v>100000</v>
      </c>
      <c r="R180" s="124">
        <f>R176</f>
        <v>0</v>
      </c>
      <c r="S180" s="124">
        <f>S176</f>
        <v>0</v>
      </c>
      <c r="T180" s="124">
        <f>T176</f>
        <v>-100000</v>
      </c>
      <c r="U180" s="156">
        <f>S180/Q180-1</f>
        <v>-1</v>
      </c>
      <c r="Y180" s="124">
        <f>Y176</f>
        <v>0</v>
      </c>
      <c r="AA180" s="124">
        <f>AA176</f>
        <v>0</v>
      </c>
      <c r="AB180" s="124">
        <f>AB176</f>
        <v>0</v>
      </c>
      <c r="AE180" s="124">
        <f>AE176</f>
        <v>0</v>
      </c>
      <c r="AF180" s="182"/>
      <c r="AH180" s="124">
        <f>AH176</f>
        <v>0</v>
      </c>
      <c r="AK180" s="124">
        <f>AK176</f>
        <v>24700</v>
      </c>
      <c r="AL180" s="193">
        <f t="shared" si="856"/>
        <v>0.247</v>
      </c>
      <c r="AM180" s="17" t="e">
        <f>AK180/AE180</f>
        <v>#DIV/0!</v>
      </c>
      <c r="AN180" s="17" t="e">
        <f>AK180/AH180</f>
        <v>#DIV/0!</v>
      </c>
      <c r="AS180" s="124">
        <f>AS176</f>
        <v>24700</v>
      </c>
      <c r="AU180" s="124">
        <f>AU176</f>
        <v>0</v>
      </c>
      <c r="AV180" s="124">
        <f>AV176</f>
        <v>24700</v>
      </c>
      <c r="AX180" s="124">
        <f>AX176</f>
        <v>0</v>
      </c>
      <c r="AY180" s="124">
        <f>AY176</f>
        <v>24700</v>
      </c>
      <c r="BA180" s="124">
        <f>BA176</f>
        <v>0</v>
      </c>
      <c r="BB180" s="124">
        <f>BB176</f>
        <v>24700</v>
      </c>
      <c r="BD180" s="124">
        <f>BD176</f>
        <v>-24700</v>
      </c>
      <c r="BE180" s="124">
        <f>BE176</f>
        <v>0</v>
      </c>
      <c r="BG180" s="124">
        <f>BG176</f>
        <v>0</v>
      </c>
      <c r="BH180" s="124">
        <f>BH176</f>
        <v>0</v>
      </c>
      <c r="BJ180" s="124">
        <f>BJ176</f>
        <v>0</v>
      </c>
      <c r="BK180" s="237" t="e">
        <f t="shared" si="857"/>
        <v>#DIV/0!</v>
      </c>
      <c r="BM180" s="124">
        <f>BM176</f>
        <v>0</v>
      </c>
      <c r="BN180" s="237" t="e">
        <f t="shared" si="858"/>
        <v>#DIV/0!</v>
      </c>
      <c r="BO180" s="237" t="e">
        <f t="shared" si="859"/>
        <v>#DIV/0!</v>
      </c>
      <c r="BQ180" s="124">
        <f>BQ176</f>
        <v>0</v>
      </c>
      <c r="BR180" s="124">
        <f>BR176</f>
        <v>0</v>
      </c>
      <c r="BT180" s="124">
        <f>BT176</f>
        <v>0</v>
      </c>
      <c r="BU180" s="124">
        <f>BU176</f>
        <v>0</v>
      </c>
      <c r="BW180" s="124">
        <f>BW176</f>
        <v>0</v>
      </c>
      <c r="BX180" s="124">
        <f>BX176</f>
        <v>0</v>
      </c>
      <c r="BZ180" s="124">
        <f>BZ176</f>
        <v>0</v>
      </c>
      <c r="CA180" s="124">
        <f>CA176</f>
        <v>0</v>
      </c>
      <c r="CC180" s="124">
        <f>CC176</f>
        <v>0</v>
      </c>
      <c r="CD180" s="124">
        <f>CD176</f>
        <v>0</v>
      </c>
      <c r="CF180" s="124">
        <f>CF176</f>
        <v>0</v>
      </c>
      <c r="CG180" s="124">
        <f>CG176</f>
        <v>0</v>
      </c>
      <c r="CI180" s="124">
        <f>CI176</f>
        <v>0</v>
      </c>
      <c r="CJ180" s="124">
        <f>CJ176</f>
        <v>0</v>
      </c>
      <c r="CL180" s="319">
        <f>CL176</f>
        <v>0</v>
      </c>
      <c r="CM180" s="124">
        <f>CM176</f>
        <v>0</v>
      </c>
      <c r="CO180" s="124">
        <f>CO176</f>
        <v>0</v>
      </c>
      <c r="CP180" s="124">
        <f>CP176</f>
        <v>0</v>
      </c>
      <c r="CR180" s="124">
        <f>CR176</f>
        <v>0</v>
      </c>
      <c r="CS180" s="124">
        <f>CS176</f>
        <v>0</v>
      </c>
      <c r="CU180" s="124">
        <f>CU176</f>
        <v>0</v>
      </c>
      <c r="CV180" s="124">
        <f>CV176</f>
        <v>0</v>
      </c>
      <c r="CX180" s="124">
        <f>CX176</f>
        <v>0</v>
      </c>
      <c r="CY180" s="124">
        <f>CY176</f>
        <v>0</v>
      </c>
      <c r="DA180" s="124">
        <f>DA176</f>
        <v>0</v>
      </c>
      <c r="DC180" s="124">
        <f>DC176</f>
        <v>0</v>
      </c>
      <c r="DE180" s="124">
        <f>DE176</f>
        <v>0</v>
      </c>
      <c r="DF180" s="124">
        <f>DF176</f>
        <v>0</v>
      </c>
      <c r="DH180" s="124">
        <f>DH176</f>
        <v>0</v>
      </c>
      <c r="DI180" s="124">
        <f>DI176</f>
        <v>0</v>
      </c>
      <c r="DK180" s="124">
        <f>DK176</f>
        <v>0</v>
      </c>
      <c r="DL180" s="124">
        <f>DL176</f>
        <v>0</v>
      </c>
      <c r="DN180" s="124">
        <f>DN176</f>
        <v>0</v>
      </c>
      <c r="DO180" s="124">
        <f>DO176</f>
        <v>0</v>
      </c>
      <c r="DQ180" s="124">
        <f>DQ176+DQ173</f>
        <v>35100</v>
      </c>
      <c r="DR180" s="124">
        <f>DR176+DR173</f>
        <v>35100</v>
      </c>
      <c r="DT180" s="124">
        <f>DT176+DT173</f>
        <v>2000</v>
      </c>
      <c r="DU180" s="124">
        <f>DU176+DU173</f>
        <v>37100</v>
      </c>
      <c r="DW180" s="124">
        <f>DW176+DW173</f>
        <v>0</v>
      </c>
      <c r="DX180" s="124">
        <f>DX176+DX173</f>
        <v>37100</v>
      </c>
      <c r="DZ180" s="124">
        <f>DZ176+DZ173</f>
        <v>0</v>
      </c>
      <c r="EA180" s="124">
        <f>EA176+EA173</f>
        <v>37100</v>
      </c>
      <c r="EC180" s="124">
        <f>EC176+EC173</f>
        <v>0</v>
      </c>
      <c r="ED180" s="124">
        <f>ED176+ED173</f>
        <v>37100</v>
      </c>
      <c r="EF180" s="124">
        <f>EF176+EF173</f>
        <v>0</v>
      </c>
      <c r="EG180" s="124">
        <f>EG176+EG173</f>
        <v>37100</v>
      </c>
      <c r="EI180" s="124">
        <f>EI176+EI173</f>
        <v>37033</v>
      </c>
      <c r="EK180" s="124">
        <f>EK176+EK173</f>
        <v>0</v>
      </c>
      <c r="EL180" s="377">
        <f>EK180/EI180-1</f>
        <v>-1</v>
      </c>
      <c r="EM180" s="124">
        <f>EM176+EM173</f>
        <v>0</v>
      </c>
      <c r="EN180" s="124">
        <f>EN176+EN173</f>
        <v>0</v>
      </c>
      <c r="EP180" s="124">
        <f>EP176+EP173</f>
        <v>0</v>
      </c>
      <c r="EQ180" s="124">
        <f>EQ176+EQ173</f>
        <v>0</v>
      </c>
      <c r="ES180" s="124">
        <f>ES176+ES173</f>
        <v>0</v>
      </c>
      <c r="ET180" s="124">
        <f>ET176+ET173</f>
        <v>0</v>
      </c>
      <c r="EV180" s="124">
        <f>EV176+EV173</f>
        <v>0</v>
      </c>
      <c r="EW180" s="124">
        <f>EW176+EW173</f>
        <v>0</v>
      </c>
      <c r="EY180" s="124">
        <f>EY176+EY173</f>
        <v>0</v>
      </c>
      <c r="EZ180" s="124">
        <f>EZ176+EZ173</f>
        <v>0</v>
      </c>
      <c r="FB180" s="124">
        <f>FB176+FB173</f>
        <v>0</v>
      </c>
      <c r="FC180" s="124">
        <f>FC176+FC173</f>
        <v>0</v>
      </c>
      <c r="FE180" s="124">
        <f>FE176+FE173</f>
        <v>0</v>
      </c>
      <c r="FF180" s="124">
        <f>FF176+FF173</f>
        <v>0</v>
      </c>
      <c r="FH180" s="124">
        <f>FH176+FH173</f>
        <v>0</v>
      </c>
      <c r="FI180" s="124">
        <f>FI176+FI173</f>
        <v>0</v>
      </c>
      <c r="FK180" s="124">
        <f>FK176+FK173</f>
        <v>0</v>
      </c>
      <c r="FL180" s="124">
        <f>FL176+FL173</f>
        <v>0</v>
      </c>
      <c r="FN180" s="124">
        <f>FN176+FN173</f>
        <v>0</v>
      </c>
      <c r="FO180" s="124">
        <f>FO176+FO173</f>
        <v>0</v>
      </c>
      <c r="FQ180" s="124">
        <v>0</v>
      </c>
      <c r="FR180" s="124">
        <v>0</v>
      </c>
      <c r="FT180" s="124">
        <f>FT176+FT173</f>
        <v>0</v>
      </c>
      <c r="FV180" s="124">
        <f>FV176+FV173</f>
        <v>0</v>
      </c>
      <c r="FW180" s="235" t="e">
        <f t="shared" si="860"/>
        <v>#DIV/0!</v>
      </c>
      <c r="FY180" s="124">
        <f>FY176+FY173</f>
        <v>0</v>
      </c>
      <c r="FZ180" s="124">
        <f>FZ176+FZ173</f>
        <v>0</v>
      </c>
      <c r="GB180" s="124">
        <f>GB176+GB173</f>
        <v>0</v>
      </c>
      <c r="GC180" s="124">
        <f>GC176+GC173</f>
        <v>0</v>
      </c>
      <c r="GE180" s="124">
        <f>GE176+GE173</f>
        <v>0</v>
      </c>
      <c r="GF180" s="124">
        <f>GF176+GF173</f>
        <v>0</v>
      </c>
      <c r="GH180" s="124">
        <f>GH176+GH173</f>
        <v>0</v>
      </c>
      <c r="GI180" s="124">
        <f>GI176+GI173</f>
        <v>0</v>
      </c>
      <c r="GK180" s="124">
        <f>GK176+GK173</f>
        <v>0</v>
      </c>
      <c r="GL180" s="124">
        <f>GL176+GL173</f>
        <v>0</v>
      </c>
      <c r="GN180" s="124">
        <f>GN176+GN173</f>
        <v>0</v>
      </c>
      <c r="GO180" s="124">
        <f>GO176+GO173</f>
        <v>0</v>
      </c>
      <c r="GQ180" s="124">
        <f>GQ176+GQ173</f>
        <v>0</v>
      </c>
      <c r="GR180" s="124">
        <f>GR176+GR173</f>
        <v>0</v>
      </c>
      <c r="GT180" s="124">
        <f>GT176+GT173</f>
        <v>0</v>
      </c>
      <c r="GU180" s="124">
        <f>GU176+GU173</f>
        <v>0</v>
      </c>
      <c r="GW180" s="124">
        <f>GW176+GW173</f>
        <v>0</v>
      </c>
      <c r="GX180" s="124">
        <f>GX176+GX173</f>
        <v>0</v>
      </c>
      <c r="GZ180" s="124">
        <f>GZ176+GZ173</f>
        <v>0</v>
      </c>
      <c r="HA180" s="432">
        <f>HA176+HA173</f>
        <v>0</v>
      </c>
      <c r="HC180" s="124">
        <f>HC176+HC173</f>
        <v>0</v>
      </c>
      <c r="HE180" s="124">
        <f>HE176+HE173</f>
        <v>0</v>
      </c>
      <c r="HF180" s="235" t="e">
        <f t="shared" si="861"/>
        <v>#DIV/0!</v>
      </c>
    </row>
    <row r="181" spans="1:214" ht="15.75" outlineLevel="1" thickTop="1">
      <c r="A181" s="1" t="s">
        <v>71</v>
      </c>
      <c r="B181" s="1" t="s">
        <v>183</v>
      </c>
      <c r="C181" s="4" t="s">
        <v>184</v>
      </c>
      <c r="D181" s="43">
        <v>300000</v>
      </c>
      <c r="E181" s="34">
        <v>56.24</v>
      </c>
      <c r="F181" s="43">
        <v>300000</v>
      </c>
      <c r="G181" s="34">
        <v>56.24</v>
      </c>
      <c r="H181" s="46">
        <v>168730</v>
      </c>
      <c r="I181" s="36">
        <f>H181+2*'[3]2020'!$C$20+5000</f>
        <v>177730</v>
      </c>
      <c r="J181" s="14"/>
      <c r="K181" t="s">
        <v>332</v>
      </c>
      <c r="L181" s="118">
        <f>12*'[3]2020'!$D$21+10000+758</f>
        <v>204000.00000000003</v>
      </c>
      <c r="M181" s="17">
        <f t="shared" si="853"/>
        <v>-0.31999999999999995</v>
      </c>
      <c r="N181" s="17">
        <f t="shared" si="854"/>
        <v>0.14780847352726068</v>
      </c>
      <c r="Q181" s="118">
        <v>203000</v>
      </c>
      <c r="R181" s="15">
        <v>103806</v>
      </c>
      <c r="S181" s="118">
        <v>240000</v>
      </c>
      <c r="T181" s="15">
        <f t="shared" ref="T181:T198" si="862">S181-Q181</f>
        <v>37000</v>
      </c>
      <c r="U181" s="16">
        <f t="shared" ref="U181:U198" si="863">S181/Q181-1</f>
        <v>0.18226600985221686</v>
      </c>
      <c r="V181" s="140">
        <v>203000</v>
      </c>
      <c r="W181">
        <v>-1000</v>
      </c>
      <c r="Y181" s="118">
        <v>240000</v>
      </c>
      <c r="AA181" s="118">
        <v>300000</v>
      </c>
      <c r="AB181" s="185">
        <f t="shared" ref="AB181:AB198" si="864">AA181-Y181</f>
        <v>60000</v>
      </c>
      <c r="AC181" s="187">
        <f t="shared" ref="AC181:AC192" si="865">AA181-Y181</f>
        <v>60000</v>
      </c>
      <c r="AD181" s="187"/>
      <c r="AE181" s="118">
        <v>300000</v>
      </c>
      <c r="AF181" s="182"/>
      <c r="AH181" s="15">
        <v>279010</v>
      </c>
      <c r="AI181" s="17">
        <f t="shared" ref="AI181:AI198" si="866">AH181/AE181</f>
        <v>0.93003333333333338</v>
      </c>
      <c r="AK181" s="118">
        <v>300000</v>
      </c>
      <c r="AS181" s="15">
        <f t="shared" ref="AS181:AS198" si="867">AR181+AK181</f>
        <v>300000</v>
      </c>
      <c r="AV181" s="15">
        <f t="shared" ref="AV181:AV198" si="868">AS181+AU181</f>
        <v>300000</v>
      </c>
      <c r="AX181" s="15"/>
      <c r="AY181" s="15">
        <f t="shared" ref="AY181:AY198" si="869">AV181+AX181</f>
        <v>300000</v>
      </c>
      <c r="BB181" s="15">
        <f t="shared" ref="BB181:BB198" si="870">AY181+BA181</f>
        <v>300000</v>
      </c>
      <c r="BD181" s="15">
        <v>40000</v>
      </c>
      <c r="BE181" s="15">
        <f t="shared" ref="BE181:BE198" si="871">BB181+BD181</f>
        <v>340000</v>
      </c>
      <c r="BG181" s="15"/>
      <c r="BH181" s="15">
        <f t="shared" ref="BH181:BH198" si="872">BE181+BG181</f>
        <v>340000</v>
      </c>
      <c r="BJ181" s="15">
        <v>319485</v>
      </c>
      <c r="BK181" s="235">
        <f t="shared" ref="BK181:BK198" si="873">BJ181/BH181</f>
        <v>0.93966176470588236</v>
      </c>
      <c r="BM181" s="15">
        <v>350000</v>
      </c>
      <c r="BN181" s="235">
        <f t="shared" ref="BN181:BN198" si="874">BM181/BJ181</f>
        <v>1.0955130913814419</v>
      </c>
      <c r="BO181" s="235">
        <f>BM181/BH181</f>
        <v>1.0294117647058822</v>
      </c>
      <c r="BQ181" s="15"/>
      <c r="BR181" s="15">
        <f t="shared" ref="BR181:BR196" si="875">BM181+BQ181</f>
        <v>350000</v>
      </c>
      <c r="BT181" s="15"/>
      <c r="BU181" s="15">
        <f t="shared" ref="BU181:BU198" si="876">BR181+BT181</f>
        <v>350000</v>
      </c>
      <c r="BW181" s="15"/>
      <c r="BX181" s="15">
        <f t="shared" ref="BX181:BX198" si="877">BU181+BW181</f>
        <v>350000</v>
      </c>
      <c r="BZ181" s="15"/>
      <c r="CA181" s="15">
        <f t="shared" ref="CA181:CA198" si="878">BX181+BZ181</f>
        <v>350000</v>
      </c>
      <c r="CC181" s="15"/>
      <c r="CD181" s="15">
        <f t="shared" ref="CD181:CD198" si="879">CA181+CC181</f>
        <v>350000</v>
      </c>
      <c r="CF181" s="15"/>
      <c r="CG181" s="15">
        <f t="shared" ref="CG181:CG199" si="880">CD181+CF181</f>
        <v>350000</v>
      </c>
      <c r="CI181" s="15"/>
      <c r="CJ181" s="15">
        <f t="shared" ref="CJ181:CJ199" si="881">CG181+CI181</f>
        <v>350000</v>
      </c>
      <c r="CL181" s="15">
        <v>-80000</v>
      </c>
      <c r="CM181" s="15">
        <f t="shared" ref="CM181:CM199" si="882">CJ181+CL181</f>
        <v>270000</v>
      </c>
      <c r="CO181" s="15">
        <v>45000</v>
      </c>
      <c r="CP181" s="15">
        <f t="shared" ref="CP181:CP199" si="883">CM181+CO181</f>
        <v>315000</v>
      </c>
      <c r="CS181" s="15">
        <f t="shared" ref="CS181:CS200" si="884">CP181+CR181</f>
        <v>315000</v>
      </c>
      <c r="CU181" s="227">
        <v>12000</v>
      </c>
      <c r="CV181" s="15">
        <f t="shared" ref="CV181:CV200" si="885">CS181+CU181</f>
        <v>327000</v>
      </c>
      <c r="CX181" s="227"/>
      <c r="CY181" s="15">
        <f t="shared" ref="CY181:CY200" si="886">CV181+CX181</f>
        <v>327000</v>
      </c>
      <c r="DA181" s="15">
        <v>326384</v>
      </c>
      <c r="DC181" s="15">
        <v>380000</v>
      </c>
      <c r="DE181" s="15"/>
      <c r="DF181" s="15">
        <f t="shared" ref="DF181:DF190" si="887">DC181+DE181</f>
        <v>380000</v>
      </c>
      <c r="DH181" s="15"/>
      <c r="DI181" s="15">
        <f t="shared" ref="DI181:DI195" si="888">DF181+DH181</f>
        <v>380000</v>
      </c>
      <c r="DK181" s="15"/>
      <c r="DL181" s="15">
        <f t="shared" ref="DL181:DL195" si="889">DI181+DK181</f>
        <v>380000</v>
      </c>
      <c r="DN181" s="15"/>
      <c r="DO181" s="15">
        <f t="shared" ref="DO181:DO195" si="890">DL181+DN181</f>
        <v>380000</v>
      </c>
      <c r="DQ181" s="227">
        <v>50000</v>
      </c>
      <c r="DR181" s="15">
        <f t="shared" ref="DR181:DR195" si="891">DO181+DQ181</f>
        <v>430000</v>
      </c>
      <c r="DT181" s="15"/>
      <c r="DU181" s="15">
        <f t="shared" ref="DU181:DU195" si="892">DR181+DT181</f>
        <v>430000</v>
      </c>
      <c r="DW181" s="15"/>
      <c r="DX181" s="15">
        <f t="shared" ref="DX181:DX195" si="893">DU181+DW181</f>
        <v>430000</v>
      </c>
      <c r="DZ181" s="15"/>
      <c r="EA181" s="15">
        <f t="shared" ref="EA181:EA195" si="894">DX181+DZ181</f>
        <v>430000</v>
      </c>
      <c r="EC181" s="227">
        <v>75000</v>
      </c>
      <c r="ED181" s="15">
        <f t="shared" ref="ED181:ED195" si="895">EA181+EC181</f>
        <v>505000</v>
      </c>
      <c r="EF181" s="227">
        <f>20000-843</f>
        <v>19157</v>
      </c>
      <c r="EG181" s="15">
        <f t="shared" ref="EG181:EG195" si="896">ED181+EF181</f>
        <v>524157</v>
      </c>
      <c r="EI181" s="15">
        <v>524157</v>
      </c>
      <c r="EK181" s="15">
        <f>415000-35000</f>
        <v>380000</v>
      </c>
      <c r="EM181" s="227">
        <v>10000</v>
      </c>
      <c r="EN181" s="15">
        <f t="shared" ref="EN181:EN195" si="897">EK181+EM181</f>
        <v>390000</v>
      </c>
      <c r="EP181" s="227">
        <v>88000</v>
      </c>
      <c r="EQ181" s="15">
        <f t="shared" ref="EQ181:EQ195" si="898">EN181+EP181</f>
        <v>478000</v>
      </c>
      <c r="ES181" s="15"/>
      <c r="ET181" s="15">
        <f t="shared" ref="ET181:ET195" si="899">EQ181+ES181</f>
        <v>478000</v>
      </c>
      <c r="EV181" s="227">
        <v>-20000</v>
      </c>
      <c r="EW181" s="15">
        <f t="shared" ref="EW181:EW195" si="900">ET181+EV181</f>
        <v>458000</v>
      </c>
      <c r="EZ181" s="15">
        <f t="shared" ref="EZ181:EZ195" si="901">EW181+EY181</f>
        <v>458000</v>
      </c>
      <c r="FC181" s="15">
        <f t="shared" ref="FC181:FC195" si="902">EZ181+FB181</f>
        <v>458000</v>
      </c>
      <c r="FF181" s="15">
        <f t="shared" ref="FF181:FF195" si="903">FC181+FE181</f>
        <v>458000</v>
      </c>
      <c r="FI181" s="15">
        <f>FF181+FH181</f>
        <v>458000</v>
      </c>
      <c r="FK181" s="227">
        <v>26000</v>
      </c>
      <c r="FL181" s="15">
        <f t="shared" ref="FL181:FL195" si="904">FI181+FK181</f>
        <v>484000</v>
      </c>
      <c r="FN181" s="227">
        <v>15000</v>
      </c>
      <c r="FO181" s="15">
        <f t="shared" ref="FO181:FO195" si="905">FL181+FN181</f>
        <v>499000</v>
      </c>
      <c r="FR181" s="15">
        <v>499000</v>
      </c>
      <c r="FT181" s="15">
        <v>498314</v>
      </c>
      <c r="FV181" s="15">
        <v>510000</v>
      </c>
      <c r="FW181" s="235">
        <f t="shared" si="860"/>
        <v>1.0234510770317511</v>
      </c>
      <c r="FZ181" s="15">
        <f t="shared" ref="FZ181:FZ195" si="906">FV181+FY181</f>
        <v>510000</v>
      </c>
      <c r="GB181" s="15"/>
      <c r="GC181" s="15">
        <f t="shared" ref="GC181:GC195" si="907">FZ181+GB181</f>
        <v>510000</v>
      </c>
      <c r="GE181" s="227">
        <v>76000</v>
      </c>
      <c r="GF181" s="15">
        <f t="shared" ref="GF181:GF195" si="908">GC181+GE181</f>
        <v>586000</v>
      </c>
      <c r="GH181" s="15"/>
      <c r="GI181" s="15">
        <f t="shared" ref="GI181:GI195" si="909">GF181+GH181</f>
        <v>586000</v>
      </c>
      <c r="GK181" s="15"/>
      <c r="GL181" s="15">
        <f t="shared" ref="GL181:GL195" si="910">GI181+GK181</f>
        <v>586000</v>
      </c>
      <c r="GN181" s="15"/>
      <c r="GO181" s="15">
        <f t="shared" ref="GO181:GO195" si="911">GL181+GN181</f>
        <v>586000</v>
      </c>
      <c r="GQ181" s="227">
        <v>-100000</v>
      </c>
      <c r="GR181" s="15">
        <f t="shared" ref="GR181:GR195" si="912">GO181+GQ181</f>
        <v>486000</v>
      </c>
      <c r="GT181" s="15"/>
      <c r="GU181" s="15">
        <f t="shared" ref="GU181:GU195" si="913">GR181+GT181</f>
        <v>486000</v>
      </c>
      <c r="GW181" s="227">
        <v>-5000</v>
      </c>
      <c r="GX181" s="15">
        <f t="shared" ref="GX181:GX195" si="914">GU181+GW181</f>
        <v>481000</v>
      </c>
      <c r="GZ181" s="15"/>
      <c r="HA181" s="189">
        <f t="shared" ref="HA181:HA195" si="915">GX181+GZ181</f>
        <v>481000</v>
      </c>
      <c r="HC181" s="189">
        <v>424935</v>
      </c>
      <c r="HE181" s="15">
        <v>481000</v>
      </c>
      <c r="HF181" s="235">
        <f t="shared" si="861"/>
        <v>1.13193782578512</v>
      </c>
    </row>
    <row r="182" spans="1:214" outlineLevel="1">
      <c r="A182" s="1" t="s">
        <v>71</v>
      </c>
      <c r="B182" s="1" t="s">
        <v>142</v>
      </c>
      <c r="C182" s="4" t="s">
        <v>143</v>
      </c>
      <c r="D182" s="43">
        <v>120000</v>
      </c>
      <c r="E182" s="34">
        <v>87.9</v>
      </c>
      <c r="F182" s="43">
        <v>120000</v>
      </c>
      <c r="G182" s="34">
        <v>87.9</v>
      </c>
      <c r="H182" s="46">
        <v>105484</v>
      </c>
      <c r="I182" s="36">
        <v>106000</v>
      </c>
      <c r="J182" s="14"/>
      <c r="K182" t="s">
        <v>332</v>
      </c>
      <c r="L182" s="118">
        <v>130000</v>
      </c>
      <c r="M182" s="17">
        <f t="shared" si="853"/>
        <v>8.3333333333333259E-2</v>
      </c>
      <c r="N182" s="17">
        <f t="shared" si="854"/>
        <v>0.22641509433962259</v>
      </c>
      <c r="Q182" s="118">
        <v>79581</v>
      </c>
      <c r="R182" s="15">
        <v>30656</v>
      </c>
      <c r="S182" s="118">
        <v>45000</v>
      </c>
      <c r="T182" s="15">
        <f t="shared" si="862"/>
        <v>-34581</v>
      </c>
      <c r="U182" s="16">
        <f t="shared" si="863"/>
        <v>-0.43453839484299017</v>
      </c>
      <c r="V182" s="140">
        <v>120500</v>
      </c>
      <c r="W182">
        <v>-9500</v>
      </c>
      <c r="Y182" s="118">
        <v>45000</v>
      </c>
      <c r="AA182" s="118">
        <v>38000</v>
      </c>
      <c r="AB182" s="185">
        <f t="shared" si="864"/>
        <v>-7000</v>
      </c>
      <c r="AC182" s="187">
        <f t="shared" si="865"/>
        <v>-7000</v>
      </c>
      <c r="AD182" s="187"/>
      <c r="AE182" s="118">
        <v>38000</v>
      </c>
      <c r="AF182" s="182"/>
      <c r="AH182" s="15">
        <v>36776</v>
      </c>
      <c r="AI182" s="17">
        <f t="shared" si="866"/>
        <v>0.96778947368421053</v>
      </c>
      <c r="AK182" s="118">
        <v>50000</v>
      </c>
      <c r="AS182" s="15">
        <f t="shared" si="867"/>
        <v>50000</v>
      </c>
      <c r="AV182" s="15">
        <f t="shared" si="868"/>
        <v>50000</v>
      </c>
      <c r="AX182" s="15"/>
      <c r="AY182" s="15">
        <f t="shared" si="869"/>
        <v>50000</v>
      </c>
      <c r="BB182" s="15">
        <f t="shared" si="870"/>
        <v>50000</v>
      </c>
      <c r="BD182" s="15">
        <v>-10000</v>
      </c>
      <c r="BE182" s="15">
        <f t="shared" si="871"/>
        <v>40000</v>
      </c>
      <c r="BG182" s="15"/>
      <c r="BH182" s="15">
        <f t="shared" si="872"/>
        <v>40000</v>
      </c>
      <c r="BJ182" s="15">
        <v>25789</v>
      </c>
      <c r="BK182" s="235">
        <f t="shared" si="873"/>
        <v>0.64472499999999999</v>
      </c>
      <c r="BM182" s="15">
        <v>60000</v>
      </c>
      <c r="BN182" s="235">
        <f t="shared" si="874"/>
        <v>2.3265733452247082</v>
      </c>
      <c r="BO182" s="235">
        <f t="shared" ref="BO182:BO198" si="916">BM182/BH182</f>
        <v>1.5</v>
      </c>
      <c r="BQ182" s="15"/>
      <c r="BR182" s="15">
        <f t="shared" si="875"/>
        <v>60000</v>
      </c>
      <c r="BT182" s="15"/>
      <c r="BU182" s="15">
        <f t="shared" si="876"/>
        <v>60000</v>
      </c>
      <c r="BW182" s="15"/>
      <c r="BX182" s="15">
        <f t="shared" si="877"/>
        <v>60000</v>
      </c>
      <c r="BZ182" s="15"/>
      <c r="CA182" s="15">
        <f t="shared" si="878"/>
        <v>60000</v>
      </c>
      <c r="CC182" s="15"/>
      <c r="CD182" s="15">
        <f t="shared" si="879"/>
        <v>60000</v>
      </c>
      <c r="CF182" s="15"/>
      <c r="CG182" s="15">
        <f t="shared" si="880"/>
        <v>60000</v>
      </c>
      <c r="CI182" s="15"/>
      <c r="CJ182" s="15">
        <f t="shared" si="881"/>
        <v>60000</v>
      </c>
      <c r="CM182" s="15">
        <f t="shared" si="882"/>
        <v>60000</v>
      </c>
      <c r="CP182" s="15">
        <f t="shared" si="883"/>
        <v>60000</v>
      </c>
      <c r="CS182" s="15">
        <f t="shared" si="884"/>
        <v>60000</v>
      </c>
      <c r="CU182" s="227">
        <v>-11500</v>
      </c>
      <c r="CV182" s="15">
        <f t="shared" si="885"/>
        <v>48500</v>
      </c>
      <c r="CX182" s="227"/>
      <c r="CY182" s="15">
        <f t="shared" si="886"/>
        <v>48500</v>
      </c>
      <c r="DA182" s="15">
        <v>48392</v>
      </c>
      <c r="DC182" s="15">
        <v>60000</v>
      </c>
      <c r="DE182" s="15"/>
      <c r="DF182" s="15">
        <f t="shared" si="887"/>
        <v>60000</v>
      </c>
      <c r="DH182" s="15"/>
      <c r="DI182" s="15">
        <f t="shared" si="888"/>
        <v>60000</v>
      </c>
      <c r="DK182" s="15"/>
      <c r="DL182" s="15">
        <f t="shared" si="889"/>
        <v>60000</v>
      </c>
      <c r="DN182" s="15"/>
      <c r="DO182" s="15">
        <f t="shared" si="890"/>
        <v>60000</v>
      </c>
      <c r="DQ182" s="15"/>
      <c r="DR182" s="15">
        <f t="shared" si="891"/>
        <v>60000</v>
      </c>
      <c r="DT182" s="15"/>
      <c r="DU182" s="15">
        <f t="shared" si="892"/>
        <v>60000</v>
      </c>
      <c r="DW182" s="15"/>
      <c r="DX182" s="15">
        <f t="shared" si="893"/>
        <v>60000</v>
      </c>
      <c r="DZ182" s="15"/>
      <c r="EA182" s="15">
        <f t="shared" si="894"/>
        <v>60000</v>
      </c>
      <c r="EC182" s="227">
        <v>12000</v>
      </c>
      <c r="ED182" s="15">
        <f t="shared" si="895"/>
        <v>72000</v>
      </c>
      <c r="EF182" s="227">
        <v>-19000</v>
      </c>
      <c r="EG182" s="15">
        <f t="shared" si="896"/>
        <v>53000</v>
      </c>
      <c r="EI182" s="15">
        <v>51074</v>
      </c>
      <c r="EK182" s="15">
        <v>90000</v>
      </c>
      <c r="EM182" s="15"/>
      <c r="EN182" s="15">
        <f t="shared" si="897"/>
        <v>90000</v>
      </c>
      <c r="EP182" s="15"/>
      <c r="EQ182" s="15">
        <f t="shared" si="898"/>
        <v>90000</v>
      </c>
      <c r="ES182" s="15"/>
      <c r="ET182" s="15">
        <f t="shared" si="899"/>
        <v>90000</v>
      </c>
      <c r="EW182" s="15">
        <f t="shared" si="900"/>
        <v>90000</v>
      </c>
      <c r="EZ182" s="15">
        <f t="shared" si="901"/>
        <v>90000</v>
      </c>
      <c r="FC182" s="15">
        <f t="shared" si="902"/>
        <v>90000</v>
      </c>
      <c r="FF182" s="15">
        <f t="shared" si="903"/>
        <v>90000</v>
      </c>
      <c r="FI182" s="15">
        <f t="shared" ref="FI182:FI195" si="917">FF182+FH182</f>
        <v>90000</v>
      </c>
      <c r="FK182" s="227">
        <v>12000</v>
      </c>
      <c r="FL182" s="15">
        <f t="shared" si="904"/>
        <v>102000</v>
      </c>
      <c r="FO182" s="15">
        <f t="shared" si="905"/>
        <v>102000</v>
      </c>
      <c r="FR182" s="15">
        <v>102000</v>
      </c>
      <c r="FT182" s="15">
        <v>86354</v>
      </c>
      <c r="FV182" s="15">
        <v>100000</v>
      </c>
      <c r="FW182" s="235">
        <f t="shared" si="860"/>
        <v>1.1580239479352432</v>
      </c>
      <c r="FY182" s="227">
        <v>-25000</v>
      </c>
      <c r="FZ182" s="15">
        <f t="shared" si="906"/>
        <v>75000</v>
      </c>
      <c r="GB182" s="15"/>
      <c r="GC182" s="15">
        <f t="shared" si="907"/>
        <v>75000</v>
      </c>
      <c r="GE182" s="15"/>
      <c r="GF182" s="15">
        <f t="shared" si="908"/>
        <v>75000</v>
      </c>
      <c r="GH182" s="15"/>
      <c r="GI182" s="15">
        <f t="shared" si="909"/>
        <v>75000</v>
      </c>
      <c r="GK182" s="15"/>
      <c r="GL182" s="15">
        <f t="shared" si="910"/>
        <v>75000</v>
      </c>
      <c r="GN182" s="15"/>
      <c r="GO182" s="15">
        <f t="shared" si="911"/>
        <v>75000</v>
      </c>
      <c r="GQ182" s="227">
        <v>20000</v>
      </c>
      <c r="GR182" s="15">
        <f t="shared" si="912"/>
        <v>95000</v>
      </c>
      <c r="GT182" s="15"/>
      <c r="GU182" s="15">
        <f t="shared" si="913"/>
        <v>95000</v>
      </c>
      <c r="GW182" s="227">
        <v>5000</v>
      </c>
      <c r="GX182" s="15">
        <f t="shared" si="914"/>
        <v>100000</v>
      </c>
      <c r="GZ182" s="15"/>
      <c r="HA182" s="189">
        <f t="shared" si="915"/>
        <v>100000</v>
      </c>
      <c r="HC182" s="189">
        <v>98382</v>
      </c>
      <c r="HE182" s="15">
        <v>150000</v>
      </c>
      <c r="HF182" s="235">
        <f t="shared" si="861"/>
        <v>1.5246691467951454</v>
      </c>
    </row>
    <row r="183" spans="1:214" outlineLevel="1">
      <c r="A183" s="1" t="s">
        <v>71</v>
      </c>
      <c r="B183" s="1" t="s">
        <v>185</v>
      </c>
      <c r="C183" s="4" t="s">
        <v>186</v>
      </c>
      <c r="D183" s="43">
        <v>65000</v>
      </c>
      <c r="E183" s="34">
        <v>60.84</v>
      </c>
      <c r="F183" s="43">
        <v>65000</v>
      </c>
      <c r="G183" s="34">
        <v>60.84</v>
      </c>
      <c r="H183" s="46">
        <v>39544</v>
      </c>
      <c r="I183" s="36">
        <f>H183*1.2</f>
        <v>47452.799999999996</v>
      </c>
      <c r="J183" s="14"/>
      <c r="K183" t="s">
        <v>332</v>
      </c>
      <c r="L183" s="118">
        <v>50000</v>
      </c>
      <c r="M183" s="17">
        <f t="shared" si="853"/>
        <v>-0.23076923076923073</v>
      </c>
      <c r="N183" s="17">
        <f t="shared" si="854"/>
        <v>5.3678602737878611E-2</v>
      </c>
      <c r="Q183" s="118">
        <v>50000</v>
      </c>
      <c r="R183" s="15">
        <v>25195</v>
      </c>
      <c r="S183" s="118">
        <v>58000</v>
      </c>
      <c r="T183" s="15">
        <f t="shared" si="862"/>
        <v>8000</v>
      </c>
      <c r="U183" s="16">
        <f t="shared" si="863"/>
        <v>0.15999999999999992</v>
      </c>
      <c r="Y183" s="118">
        <v>58000</v>
      </c>
      <c r="AA183" s="118">
        <v>70000</v>
      </c>
      <c r="AB183" s="185">
        <f t="shared" si="864"/>
        <v>12000</v>
      </c>
      <c r="AC183" s="187">
        <f t="shared" si="865"/>
        <v>12000</v>
      </c>
      <c r="AD183" s="187"/>
      <c r="AE183" s="118">
        <v>70000</v>
      </c>
      <c r="AF183" s="182"/>
      <c r="AH183" s="15">
        <v>66832</v>
      </c>
      <c r="AI183" s="17">
        <f t="shared" si="866"/>
        <v>0.95474285714285712</v>
      </c>
      <c r="AK183" s="118">
        <v>69000</v>
      </c>
      <c r="AS183" s="15">
        <f t="shared" si="867"/>
        <v>69000</v>
      </c>
      <c r="AV183" s="15">
        <f t="shared" si="868"/>
        <v>69000</v>
      </c>
      <c r="AX183" s="15"/>
      <c r="AY183" s="15">
        <f t="shared" si="869"/>
        <v>69000</v>
      </c>
      <c r="BB183" s="15">
        <f t="shared" si="870"/>
        <v>69000</v>
      </c>
      <c r="BD183" s="15">
        <v>10000</v>
      </c>
      <c r="BE183" s="15">
        <f t="shared" si="871"/>
        <v>79000</v>
      </c>
      <c r="BG183" s="15"/>
      <c r="BH183" s="15">
        <f t="shared" si="872"/>
        <v>79000</v>
      </c>
      <c r="BJ183" s="15">
        <v>78258</v>
      </c>
      <c r="BK183" s="235">
        <f t="shared" si="873"/>
        <v>0.99060759493670891</v>
      </c>
      <c r="BM183" s="15">
        <f>BM181*0.245</f>
        <v>85750</v>
      </c>
      <c r="BN183" s="235">
        <f t="shared" si="874"/>
        <v>1.0957346213805617</v>
      </c>
      <c r="BO183" s="235">
        <f t="shared" si="916"/>
        <v>1.0854430379746836</v>
      </c>
      <c r="BQ183" s="15"/>
      <c r="BR183" s="15">
        <f t="shared" si="875"/>
        <v>85750</v>
      </c>
      <c r="BT183" s="15"/>
      <c r="BU183" s="15">
        <f t="shared" si="876"/>
        <v>85750</v>
      </c>
      <c r="BW183" s="15"/>
      <c r="BX183" s="15">
        <f t="shared" si="877"/>
        <v>85750</v>
      </c>
      <c r="BZ183" s="15"/>
      <c r="CA183" s="15">
        <f t="shared" si="878"/>
        <v>85750</v>
      </c>
      <c r="CC183" s="15"/>
      <c r="CD183" s="15">
        <f t="shared" si="879"/>
        <v>85750</v>
      </c>
      <c r="CF183" s="15"/>
      <c r="CG183" s="15">
        <f t="shared" si="880"/>
        <v>85750</v>
      </c>
      <c r="CI183" s="15"/>
      <c r="CJ183" s="15">
        <f t="shared" si="881"/>
        <v>85750</v>
      </c>
      <c r="CM183" s="15">
        <f t="shared" si="882"/>
        <v>85750</v>
      </c>
      <c r="CP183" s="15">
        <f t="shared" si="883"/>
        <v>85750</v>
      </c>
      <c r="CS183" s="15">
        <f t="shared" si="884"/>
        <v>85750</v>
      </c>
      <c r="CU183" s="227">
        <v>-3750</v>
      </c>
      <c r="CV183" s="15">
        <f t="shared" si="885"/>
        <v>82000</v>
      </c>
      <c r="CX183" s="227"/>
      <c r="CY183" s="15">
        <f t="shared" si="886"/>
        <v>82000</v>
      </c>
      <c r="DA183" s="15">
        <v>81593</v>
      </c>
      <c r="DC183" s="15">
        <f>DC181*0.25</f>
        <v>95000</v>
      </c>
      <c r="DE183" s="15"/>
      <c r="DF183" s="15">
        <f t="shared" si="887"/>
        <v>95000</v>
      </c>
      <c r="DH183" s="15"/>
      <c r="DI183" s="15">
        <f t="shared" si="888"/>
        <v>95000</v>
      </c>
      <c r="DK183" s="15"/>
      <c r="DL183" s="15">
        <f t="shared" si="889"/>
        <v>95000</v>
      </c>
      <c r="DN183" s="15"/>
      <c r="DO183" s="15">
        <f t="shared" si="890"/>
        <v>95000</v>
      </c>
      <c r="DQ183" s="227">
        <v>15000</v>
      </c>
      <c r="DR183" s="15">
        <f t="shared" si="891"/>
        <v>110000</v>
      </c>
      <c r="DT183" s="15"/>
      <c r="DU183" s="15">
        <f t="shared" si="892"/>
        <v>110000</v>
      </c>
      <c r="DW183" s="15"/>
      <c r="DX183" s="15">
        <f t="shared" si="893"/>
        <v>110000</v>
      </c>
      <c r="DZ183" s="15"/>
      <c r="EA183" s="15">
        <f t="shared" si="894"/>
        <v>110000</v>
      </c>
      <c r="EC183" s="227">
        <v>20000</v>
      </c>
      <c r="ED183" s="15">
        <f t="shared" si="895"/>
        <v>130000</v>
      </c>
      <c r="EE183">
        <f>EF183*ED181</f>
        <v>-168165000</v>
      </c>
      <c r="EF183" s="227">
        <v>-333</v>
      </c>
      <c r="EG183" s="15">
        <f t="shared" si="896"/>
        <v>129667</v>
      </c>
      <c r="EI183" s="15">
        <v>129667</v>
      </c>
      <c r="EK183" s="15">
        <f>98000-7000</f>
        <v>91000</v>
      </c>
      <c r="EM183" s="15"/>
      <c r="EN183" s="15">
        <f t="shared" si="897"/>
        <v>91000</v>
      </c>
      <c r="EP183" s="227">
        <v>21000</v>
      </c>
      <c r="EQ183" s="15">
        <f t="shared" si="898"/>
        <v>112000</v>
      </c>
      <c r="ES183" s="15"/>
      <c r="ET183" s="15">
        <f t="shared" si="899"/>
        <v>112000</v>
      </c>
      <c r="EW183" s="15">
        <f t="shared" si="900"/>
        <v>112000</v>
      </c>
      <c r="EZ183" s="15">
        <f t="shared" si="901"/>
        <v>112000</v>
      </c>
      <c r="FC183" s="15">
        <f t="shared" si="902"/>
        <v>112000</v>
      </c>
      <c r="FF183" s="15">
        <f t="shared" si="903"/>
        <v>112000</v>
      </c>
      <c r="FI183" s="15">
        <f t="shared" si="917"/>
        <v>112000</v>
      </c>
      <c r="FK183" s="227">
        <v>5000</v>
      </c>
      <c r="FL183" s="15">
        <f t="shared" si="904"/>
        <v>117000</v>
      </c>
      <c r="FN183" s="227">
        <v>1000</v>
      </c>
      <c r="FO183" s="15">
        <f t="shared" si="905"/>
        <v>118000</v>
      </c>
      <c r="FR183" s="15">
        <v>118000</v>
      </c>
      <c r="FT183" s="15">
        <v>117947</v>
      </c>
      <c r="FV183" s="15">
        <v>121000</v>
      </c>
      <c r="FW183" s="235">
        <f t="shared" si="860"/>
        <v>1.0258845074482608</v>
      </c>
      <c r="FZ183" s="15">
        <f t="shared" si="906"/>
        <v>121000</v>
      </c>
      <c r="GB183" s="15"/>
      <c r="GC183" s="15">
        <f t="shared" si="907"/>
        <v>121000</v>
      </c>
      <c r="GE183" s="227">
        <v>18500</v>
      </c>
      <c r="GF183" s="15">
        <f t="shared" si="908"/>
        <v>139500</v>
      </c>
      <c r="GH183" s="15"/>
      <c r="GI183" s="15">
        <f t="shared" si="909"/>
        <v>139500</v>
      </c>
      <c r="GK183" s="15"/>
      <c r="GL183" s="15">
        <f t="shared" si="910"/>
        <v>139500</v>
      </c>
      <c r="GN183" s="15"/>
      <c r="GO183" s="15">
        <f t="shared" si="911"/>
        <v>139500</v>
      </c>
      <c r="GQ183" s="227">
        <v>-23000</v>
      </c>
      <c r="GR183" s="15">
        <f t="shared" si="912"/>
        <v>116500</v>
      </c>
      <c r="GT183" s="15"/>
      <c r="GU183" s="15">
        <f t="shared" si="913"/>
        <v>116500</v>
      </c>
      <c r="GW183" s="15"/>
      <c r="GX183" s="15">
        <f t="shared" si="914"/>
        <v>116500</v>
      </c>
      <c r="GZ183" s="15"/>
      <c r="HA183" s="189">
        <f t="shared" si="915"/>
        <v>116500</v>
      </c>
      <c r="HC183" s="189">
        <v>99277.99</v>
      </c>
      <c r="HE183" s="15">
        <v>117000</v>
      </c>
      <c r="HF183" s="235">
        <f t="shared" si="861"/>
        <v>1.1785089524878576</v>
      </c>
    </row>
    <row r="184" spans="1:214" outlineLevel="1">
      <c r="A184" s="1" t="s">
        <v>71</v>
      </c>
      <c r="B184" s="1" t="s">
        <v>187</v>
      </c>
      <c r="C184" s="4" t="s">
        <v>188</v>
      </c>
      <c r="D184" s="43">
        <v>25000</v>
      </c>
      <c r="E184" s="34">
        <v>67.08</v>
      </c>
      <c r="F184" s="43">
        <v>25000</v>
      </c>
      <c r="G184" s="34">
        <v>67.08</v>
      </c>
      <c r="H184" s="46">
        <v>16770</v>
      </c>
      <c r="I184" s="36">
        <f>H184*1.2</f>
        <v>20124</v>
      </c>
      <c r="J184" s="14"/>
      <c r="K184" t="s">
        <v>332</v>
      </c>
      <c r="L184" s="118">
        <v>25000</v>
      </c>
      <c r="M184" s="17">
        <f t="shared" si="853"/>
        <v>0</v>
      </c>
      <c r="N184" s="17">
        <f t="shared" si="854"/>
        <v>0.242297753925661</v>
      </c>
      <c r="Q184" s="118">
        <v>25000</v>
      </c>
      <c r="R184" s="15">
        <v>9165</v>
      </c>
      <c r="S184" s="118">
        <v>22000</v>
      </c>
      <c r="T184" s="15">
        <f t="shared" si="862"/>
        <v>-3000</v>
      </c>
      <c r="U184" s="16">
        <f t="shared" si="863"/>
        <v>-0.12</v>
      </c>
      <c r="Y184" s="118">
        <v>22000</v>
      </c>
      <c r="AA184" s="118">
        <v>27000</v>
      </c>
      <c r="AB184" s="185">
        <f t="shared" si="864"/>
        <v>5000</v>
      </c>
      <c r="AC184" s="187">
        <f t="shared" si="865"/>
        <v>5000</v>
      </c>
      <c r="AD184" s="187"/>
      <c r="AE184" s="118">
        <v>27000</v>
      </c>
      <c r="AF184" s="182"/>
      <c r="AH184" s="15">
        <v>24513</v>
      </c>
      <c r="AI184" s="17">
        <f t="shared" si="866"/>
        <v>0.90788888888888886</v>
      </c>
      <c r="AK184" s="118">
        <v>27000</v>
      </c>
      <c r="AS184" s="15">
        <f t="shared" si="867"/>
        <v>27000</v>
      </c>
      <c r="AV184" s="15">
        <f t="shared" si="868"/>
        <v>27000</v>
      </c>
      <c r="AX184" s="15"/>
      <c r="AY184" s="15">
        <f t="shared" si="869"/>
        <v>27000</v>
      </c>
      <c r="BB184" s="15">
        <f t="shared" si="870"/>
        <v>27000</v>
      </c>
      <c r="BD184" s="15">
        <v>5000</v>
      </c>
      <c r="BE184" s="15">
        <f t="shared" si="871"/>
        <v>32000</v>
      </c>
      <c r="BG184" s="15"/>
      <c r="BH184" s="15">
        <f t="shared" si="872"/>
        <v>32000</v>
      </c>
      <c r="BJ184" s="15">
        <v>28596</v>
      </c>
      <c r="BK184" s="235">
        <f t="shared" si="873"/>
        <v>0.893625</v>
      </c>
      <c r="BM184" s="15">
        <f>BM181*0.09</f>
        <v>31500</v>
      </c>
      <c r="BN184" s="235">
        <f t="shared" si="874"/>
        <v>1.1015526647083509</v>
      </c>
      <c r="BO184" s="235">
        <f t="shared" si="916"/>
        <v>0.984375</v>
      </c>
      <c r="BQ184" s="15"/>
      <c r="BR184" s="15">
        <f t="shared" si="875"/>
        <v>31500</v>
      </c>
      <c r="BT184" s="15"/>
      <c r="BU184" s="15">
        <f t="shared" si="876"/>
        <v>31500</v>
      </c>
      <c r="BW184" s="15"/>
      <c r="BX184" s="15">
        <f t="shared" si="877"/>
        <v>31500</v>
      </c>
      <c r="BZ184" s="15"/>
      <c r="CA184" s="15">
        <f t="shared" si="878"/>
        <v>31500</v>
      </c>
      <c r="CC184" s="15"/>
      <c r="CD184" s="15">
        <f t="shared" si="879"/>
        <v>31500</v>
      </c>
      <c r="CF184" s="15"/>
      <c r="CG184" s="15">
        <f t="shared" si="880"/>
        <v>31500</v>
      </c>
      <c r="CI184" s="15"/>
      <c r="CJ184" s="15">
        <f t="shared" si="881"/>
        <v>31500</v>
      </c>
      <c r="CM184" s="15">
        <f t="shared" si="882"/>
        <v>31500</v>
      </c>
      <c r="CP184" s="15">
        <f t="shared" si="883"/>
        <v>31500</v>
      </c>
      <c r="CS184" s="15">
        <f t="shared" si="884"/>
        <v>31500</v>
      </c>
      <c r="CU184" s="227">
        <v>-1500</v>
      </c>
      <c r="CV184" s="15">
        <f t="shared" si="885"/>
        <v>30000</v>
      </c>
      <c r="CX184" s="227"/>
      <c r="CY184" s="15">
        <f t="shared" si="886"/>
        <v>30000</v>
      </c>
      <c r="DA184" s="15">
        <v>29826</v>
      </c>
      <c r="DC184" s="15">
        <f>DC181*0.1</f>
        <v>38000</v>
      </c>
      <c r="DE184" s="15"/>
      <c r="DF184" s="15">
        <f t="shared" si="887"/>
        <v>38000</v>
      </c>
      <c r="DH184" s="15"/>
      <c r="DI184" s="15">
        <f t="shared" si="888"/>
        <v>38000</v>
      </c>
      <c r="DK184" s="15"/>
      <c r="DL184" s="15">
        <f t="shared" si="889"/>
        <v>38000</v>
      </c>
      <c r="DN184" s="15"/>
      <c r="DO184" s="15">
        <f t="shared" si="890"/>
        <v>38000</v>
      </c>
      <c r="DQ184" s="227">
        <v>5000</v>
      </c>
      <c r="DR184" s="15">
        <f t="shared" si="891"/>
        <v>43000</v>
      </c>
      <c r="DT184" s="15"/>
      <c r="DU184" s="15">
        <f t="shared" si="892"/>
        <v>43000</v>
      </c>
      <c r="DW184" s="15"/>
      <c r="DX184" s="15">
        <f t="shared" si="893"/>
        <v>43000</v>
      </c>
      <c r="DZ184" s="15"/>
      <c r="EA184" s="15">
        <f t="shared" si="894"/>
        <v>43000</v>
      </c>
      <c r="EC184" s="227">
        <v>7500</v>
      </c>
      <c r="ED184" s="15">
        <f t="shared" si="895"/>
        <v>50500</v>
      </c>
      <c r="EF184" s="227">
        <f>1176-5000</f>
        <v>-3824</v>
      </c>
      <c r="EG184" s="15">
        <f t="shared" si="896"/>
        <v>46676</v>
      </c>
      <c r="EI184" s="15">
        <v>44916</v>
      </c>
      <c r="EK184" s="15">
        <f>46000-3000</f>
        <v>43000</v>
      </c>
      <c r="EM184" s="15"/>
      <c r="EN184" s="15">
        <f t="shared" si="897"/>
        <v>43000</v>
      </c>
      <c r="EP184" s="227">
        <v>10000</v>
      </c>
      <c r="EQ184" s="15">
        <f t="shared" si="898"/>
        <v>53000</v>
      </c>
      <c r="ES184" s="15"/>
      <c r="ET184" s="15">
        <f t="shared" si="899"/>
        <v>53000</v>
      </c>
      <c r="EW184" s="15">
        <f t="shared" si="900"/>
        <v>53000</v>
      </c>
      <c r="EZ184" s="15">
        <f t="shared" si="901"/>
        <v>53000</v>
      </c>
      <c r="FC184" s="15">
        <f t="shared" si="902"/>
        <v>53000</v>
      </c>
      <c r="FF184" s="15">
        <f t="shared" si="903"/>
        <v>53000</v>
      </c>
      <c r="FI184" s="15">
        <f t="shared" si="917"/>
        <v>53000</v>
      </c>
      <c r="FL184" s="15">
        <f t="shared" si="904"/>
        <v>53000</v>
      </c>
      <c r="FO184" s="15">
        <f t="shared" si="905"/>
        <v>53000</v>
      </c>
      <c r="FR184" s="15">
        <v>53000</v>
      </c>
      <c r="FT184" s="15">
        <v>41379</v>
      </c>
      <c r="FV184" s="15">
        <v>42500</v>
      </c>
      <c r="FW184" s="235">
        <f t="shared" si="860"/>
        <v>1.0270910365161072</v>
      </c>
      <c r="FZ184" s="15">
        <f t="shared" si="906"/>
        <v>42500</v>
      </c>
      <c r="GB184" s="15"/>
      <c r="GC184" s="15">
        <f t="shared" si="907"/>
        <v>42500</v>
      </c>
      <c r="GE184" s="227">
        <v>6500</v>
      </c>
      <c r="GF184" s="15">
        <f t="shared" si="908"/>
        <v>49000</v>
      </c>
      <c r="GH184" s="15"/>
      <c r="GI184" s="15">
        <f t="shared" si="909"/>
        <v>49000</v>
      </c>
      <c r="GK184" s="15"/>
      <c r="GL184" s="15">
        <f t="shared" si="910"/>
        <v>49000</v>
      </c>
      <c r="GN184" s="15"/>
      <c r="GO184" s="15">
        <f t="shared" si="911"/>
        <v>49000</v>
      </c>
      <c r="GQ184" s="227">
        <v>-8000</v>
      </c>
      <c r="GR184" s="15">
        <f t="shared" si="912"/>
        <v>41000</v>
      </c>
      <c r="GT184" s="15"/>
      <c r="GU184" s="15">
        <f t="shared" si="913"/>
        <v>41000</v>
      </c>
      <c r="GW184" s="15"/>
      <c r="GX184" s="15">
        <f t="shared" si="914"/>
        <v>41000</v>
      </c>
      <c r="GZ184" s="15"/>
      <c r="HA184" s="189">
        <f t="shared" si="915"/>
        <v>41000</v>
      </c>
      <c r="HC184" s="189">
        <v>36391.01</v>
      </c>
      <c r="HE184" s="15">
        <v>41000</v>
      </c>
      <c r="HF184" s="235">
        <f t="shared" si="861"/>
        <v>1.1266518846275495</v>
      </c>
    </row>
    <row r="185" spans="1:214" outlineLevel="1">
      <c r="A185" s="1" t="s">
        <v>71</v>
      </c>
      <c r="B185" s="1" t="s">
        <v>189</v>
      </c>
      <c r="C185" s="4" t="s">
        <v>190</v>
      </c>
      <c r="D185" s="43">
        <v>2500</v>
      </c>
      <c r="E185" s="34">
        <v>98.48</v>
      </c>
      <c r="F185" s="43">
        <v>2500</v>
      </c>
      <c r="G185" s="34">
        <v>98.48</v>
      </c>
      <c r="H185" s="46">
        <v>2462</v>
      </c>
      <c r="I185" s="15">
        <v>2500</v>
      </c>
      <c r="K185" t="s">
        <v>332</v>
      </c>
      <c r="L185" s="118">
        <v>3000</v>
      </c>
      <c r="M185" s="17">
        <f t="shared" si="853"/>
        <v>0.19999999999999996</v>
      </c>
      <c r="N185" s="17">
        <f t="shared" si="854"/>
        <v>0.19999999999999996</v>
      </c>
      <c r="Q185" s="118">
        <v>3000</v>
      </c>
      <c r="R185" s="15">
        <v>2775</v>
      </c>
      <c r="S185" s="118">
        <v>3000</v>
      </c>
      <c r="T185" s="15">
        <f t="shared" si="862"/>
        <v>0</v>
      </c>
      <c r="U185" s="16">
        <f t="shared" si="863"/>
        <v>0</v>
      </c>
      <c r="Y185" s="118">
        <v>3000</v>
      </c>
      <c r="AA185" s="118">
        <v>3000</v>
      </c>
      <c r="AB185" s="185">
        <f t="shared" si="864"/>
        <v>0</v>
      </c>
      <c r="AC185" s="187">
        <f t="shared" si="865"/>
        <v>0</v>
      </c>
      <c r="AD185" s="187"/>
      <c r="AE185" s="118">
        <v>3000</v>
      </c>
      <c r="AF185" s="182"/>
      <c r="AH185" s="15">
        <v>2774.74</v>
      </c>
      <c r="AI185" s="17">
        <f t="shared" si="866"/>
        <v>0.92491333333333325</v>
      </c>
      <c r="AK185" s="118">
        <v>3000</v>
      </c>
      <c r="AS185" s="15">
        <f t="shared" si="867"/>
        <v>3000</v>
      </c>
      <c r="AV185" s="15">
        <f t="shared" si="868"/>
        <v>3000</v>
      </c>
      <c r="AX185" s="15"/>
      <c r="AY185" s="15">
        <f t="shared" si="869"/>
        <v>3000</v>
      </c>
      <c r="BB185" s="15">
        <f t="shared" si="870"/>
        <v>3000</v>
      </c>
      <c r="BD185" s="15">
        <v>-2000</v>
      </c>
      <c r="BE185" s="15">
        <f t="shared" si="871"/>
        <v>1000</v>
      </c>
      <c r="BG185" s="15"/>
      <c r="BH185" s="15">
        <f t="shared" si="872"/>
        <v>1000</v>
      </c>
      <c r="BJ185" s="15">
        <v>604.29999999999995</v>
      </c>
      <c r="BK185" s="235">
        <f t="shared" si="873"/>
        <v>0.60429999999999995</v>
      </c>
      <c r="BM185" s="15">
        <v>1000</v>
      </c>
      <c r="BN185" s="235">
        <f t="shared" si="874"/>
        <v>1.6548072149594573</v>
      </c>
      <c r="BO185" s="235">
        <f t="shared" si="916"/>
        <v>1</v>
      </c>
      <c r="BQ185" s="15"/>
      <c r="BR185" s="15">
        <f t="shared" si="875"/>
        <v>1000</v>
      </c>
      <c r="BT185" s="15"/>
      <c r="BU185" s="15">
        <f t="shared" si="876"/>
        <v>1000</v>
      </c>
      <c r="BW185" s="15"/>
      <c r="BX185" s="15">
        <f t="shared" si="877"/>
        <v>1000</v>
      </c>
      <c r="BZ185" s="15"/>
      <c r="CA185" s="15">
        <f t="shared" si="878"/>
        <v>1000</v>
      </c>
      <c r="CC185" s="15"/>
      <c r="CD185" s="15">
        <f t="shared" si="879"/>
        <v>1000</v>
      </c>
      <c r="CF185" s="15"/>
      <c r="CG185" s="15">
        <f t="shared" si="880"/>
        <v>1000</v>
      </c>
      <c r="CI185" s="15"/>
      <c r="CJ185" s="15">
        <f t="shared" si="881"/>
        <v>1000</v>
      </c>
      <c r="CL185" s="15">
        <v>2000</v>
      </c>
      <c r="CM185" s="15">
        <f t="shared" si="882"/>
        <v>3000</v>
      </c>
      <c r="CO185" s="15">
        <v>500</v>
      </c>
      <c r="CP185" s="15">
        <f t="shared" si="883"/>
        <v>3500</v>
      </c>
      <c r="CS185" s="15">
        <f t="shared" si="884"/>
        <v>3500</v>
      </c>
      <c r="CV185" s="15">
        <f t="shared" si="885"/>
        <v>3500</v>
      </c>
      <c r="CY185" s="15">
        <f t="shared" si="886"/>
        <v>3500</v>
      </c>
      <c r="DA185" s="15">
        <v>3195</v>
      </c>
      <c r="DC185" s="15">
        <v>4000</v>
      </c>
      <c r="DE185" s="15"/>
      <c r="DF185" s="15">
        <f t="shared" si="887"/>
        <v>4000</v>
      </c>
      <c r="DH185" s="15"/>
      <c r="DI185" s="15">
        <f t="shared" si="888"/>
        <v>4000</v>
      </c>
      <c r="DK185" s="15"/>
      <c r="DL185" s="15">
        <f t="shared" si="889"/>
        <v>4000</v>
      </c>
      <c r="DN185" s="15"/>
      <c r="DO185" s="15">
        <f t="shared" si="890"/>
        <v>4000</v>
      </c>
      <c r="DQ185" s="15"/>
      <c r="DR185" s="15">
        <f t="shared" si="891"/>
        <v>4000</v>
      </c>
      <c r="DT185" s="15"/>
      <c r="DU185" s="15">
        <f t="shared" si="892"/>
        <v>4000</v>
      </c>
      <c r="DW185" s="15"/>
      <c r="DX185" s="15">
        <f t="shared" si="893"/>
        <v>4000</v>
      </c>
      <c r="DZ185" s="15"/>
      <c r="EA185" s="15">
        <f t="shared" si="894"/>
        <v>4000</v>
      </c>
      <c r="EC185" s="227">
        <v>-2000</v>
      </c>
      <c r="ED185" s="15">
        <f t="shared" si="895"/>
        <v>2000</v>
      </c>
      <c r="EF185" s="227">
        <v>-1700</v>
      </c>
      <c r="EG185" s="15">
        <f t="shared" si="896"/>
        <v>300</v>
      </c>
      <c r="EI185" s="15">
        <v>207</v>
      </c>
      <c r="EK185" s="15">
        <v>3000</v>
      </c>
      <c r="EM185" s="15"/>
      <c r="EN185" s="15">
        <f t="shared" si="897"/>
        <v>3000</v>
      </c>
      <c r="EP185" s="15"/>
      <c r="EQ185" s="15">
        <f t="shared" si="898"/>
        <v>3000</v>
      </c>
      <c r="ES185" s="15"/>
      <c r="ET185" s="15">
        <f t="shared" si="899"/>
        <v>3000</v>
      </c>
      <c r="EW185" s="15">
        <f t="shared" si="900"/>
        <v>3000</v>
      </c>
      <c r="EZ185" s="15">
        <f t="shared" si="901"/>
        <v>3000</v>
      </c>
      <c r="FC185" s="15">
        <f t="shared" si="902"/>
        <v>3000</v>
      </c>
      <c r="FF185" s="15">
        <f t="shared" si="903"/>
        <v>3000</v>
      </c>
      <c r="FI185" s="15">
        <f t="shared" si="917"/>
        <v>3000</v>
      </c>
      <c r="FL185" s="15">
        <f t="shared" si="904"/>
        <v>3000</v>
      </c>
      <c r="FO185" s="15">
        <f t="shared" si="905"/>
        <v>3000</v>
      </c>
      <c r="FR185" s="15">
        <v>3000</v>
      </c>
      <c r="FT185" s="15">
        <v>2942.17</v>
      </c>
      <c r="FV185" s="15">
        <v>3000</v>
      </c>
      <c r="FW185" s="235">
        <f t="shared" si="860"/>
        <v>1.0196555603517132</v>
      </c>
      <c r="FZ185" s="15">
        <f t="shared" si="906"/>
        <v>3000</v>
      </c>
      <c r="GB185" s="15"/>
      <c r="GC185" s="15">
        <f t="shared" si="907"/>
        <v>3000</v>
      </c>
      <c r="GE185" s="15"/>
      <c r="GF185" s="15">
        <f t="shared" si="908"/>
        <v>3000</v>
      </c>
      <c r="GH185" s="15"/>
      <c r="GI185" s="15">
        <f t="shared" si="909"/>
        <v>3000</v>
      </c>
      <c r="GK185" s="15"/>
      <c r="GL185" s="15">
        <f t="shared" si="910"/>
        <v>3000</v>
      </c>
      <c r="GN185" s="15"/>
      <c r="GO185" s="15">
        <f t="shared" si="911"/>
        <v>3000</v>
      </c>
      <c r="GQ185" s="15"/>
      <c r="GR185" s="15">
        <f t="shared" si="912"/>
        <v>3000</v>
      </c>
      <c r="GT185" s="15"/>
      <c r="GU185" s="15">
        <f t="shared" si="913"/>
        <v>3000</v>
      </c>
      <c r="GW185" s="15"/>
      <c r="GX185" s="15">
        <f t="shared" si="914"/>
        <v>3000</v>
      </c>
      <c r="GZ185" s="15"/>
      <c r="HA185" s="189">
        <f t="shared" si="915"/>
        <v>3000</v>
      </c>
      <c r="HC185" s="189">
        <v>710.78</v>
      </c>
      <c r="HE185" s="15">
        <v>1000</v>
      </c>
      <c r="HF185" s="235">
        <f t="shared" si="861"/>
        <v>1.4069050901826163</v>
      </c>
    </row>
    <row r="186" spans="1:214" outlineLevel="1">
      <c r="A186" s="1" t="s">
        <v>71</v>
      </c>
      <c r="B186" s="1" t="s">
        <v>225</v>
      </c>
      <c r="C186" s="4" t="s">
        <v>226</v>
      </c>
      <c r="D186" s="43"/>
      <c r="E186" s="34"/>
      <c r="F186" s="43"/>
      <c r="G186" s="34"/>
      <c r="H186" s="46"/>
      <c r="M186" s="17"/>
      <c r="N186" s="17"/>
      <c r="Q186" s="118">
        <v>299</v>
      </c>
      <c r="R186" s="15">
        <v>299</v>
      </c>
      <c r="S186" s="118">
        <v>300</v>
      </c>
      <c r="T186" s="15">
        <f t="shared" si="862"/>
        <v>1</v>
      </c>
      <c r="U186" s="16">
        <f t="shared" si="863"/>
        <v>3.3444816053511683E-3</v>
      </c>
      <c r="Y186" s="118">
        <v>300</v>
      </c>
      <c r="AA186" s="118">
        <v>300</v>
      </c>
      <c r="AB186" s="185">
        <f t="shared" si="864"/>
        <v>0</v>
      </c>
      <c r="AC186" s="187">
        <f t="shared" si="865"/>
        <v>0</v>
      </c>
      <c r="AD186" s="187"/>
      <c r="AE186" s="118">
        <v>300</v>
      </c>
      <c r="AF186" s="182"/>
      <c r="AH186" s="15">
        <v>299</v>
      </c>
      <c r="AI186" s="17">
        <f t="shared" si="866"/>
        <v>0.9966666666666667</v>
      </c>
      <c r="AK186" s="118">
        <v>300</v>
      </c>
      <c r="AS186" s="15">
        <f t="shared" si="867"/>
        <v>300</v>
      </c>
      <c r="AV186" s="15">
        <f t="shared" si="868"/>
        <v>300</v>
      </c>
      <c r="AX186" s="15"/>
      <c r="AY186" s="15">
        <f t="shared" si="869"/>
        <v>300</v>
      </c>
      <c r="BB186" s="15">
        <f t="shared" si="870"/>
        <v>300</v>
      </c>
      <c r="BD186" s="15"/>
      <c r="BE186" s="15">
        <f t="shared" si="871"/>
        <v>300</v>
      </c>
      <c r="BG186" s="15"/>
      <c r="BH186" s="15">
        <f t="shared" si="872"/>
        <v>300</v>
      </c>
      <c r="BJ186" s="15">
        <v>0</v>
      </c>
      <c r="BK186" s="235">
        <f t="shared" si="873"/>
        <v>0</v>
      </c>
      <c r="BM186" s="15">
        <v>300</v>
      </c>
      <c r="BN186" s="235" t="e">
        <f t="shared" si="874"/>
        <v>#DIV/0!</v>
      </c>
      <c r="BO186" s="235">
        <f t="shared" si="916"/>
        <v>1</v>
      </c>
      <c r="BQ186" s="15"/>
      <c r="BR186" s="15">
        <f t="shared" si="875"/>
        <v>300</v>
      </c>
      <c r="BT186" s="15"/>
      <c r="BU186" s="15">
        <f t="shared" si="876"/>
        <v>300</v>
      </c>
      <c r="BW186" s="15"/>
      <c r="BX186" s="15">
        <f t="shared" si="877"/>
        <v>300</v>
      </c>
      <c r="BZ186" s="15"/>
      <c r="CA186" s="15">
        <f t="shared" si="878"/>
        <v>300</v>
      </c>
      <c r="CC186" s="15"/>
      <c r="CD186" s="15">
        <f t="shared" si="879"/>
        <v>300</v>
      </c>
      <c r="CF186" s="15"/>
      <c r="CG186" s="15">
        <f t="shared" si="880"/>
        <v>300</v>
      </c>
      <c r="CI186" s="15"/>
      <c r="CJ186" s="15">
        <f t="shared" si="881"/>
        <v>300</v>
      </c>
      <c r="CM186" s="15">
        <f t="shared" si="882"/>
        <v>300</v>
      </c>
      <c r="CP186" s="15">
        <f t="shared" si="883"/>
        <v>300</v>
      </c>
      <c r="CS186" s="15">
        <f t="shared" si="884"/>
        <v>300</v>
      </c>
      <c r="CU186" s="227">
        <v>-300</v>
      </c>
      <c r="CV186" s="15">
        <f t="shared" si="885"/>
        <v>0</v>
      </c>
      <c r="CX186" s="227"/>
      <c r="CY186" s="15">
        <f t="shared" si="886"/>
        <v>0</v>
      </c>
      <c r="DA186" s="15">
        <v>0</v>
      </c>
      <c r="DC186" s="15">
        <v>300</v>
      </c>
      <c r="DE186" s="15"/>
      <c r="DF186" s="15">
        <f t="shared" si="887"/>
        <v>300</v>
      </c>
      <c r="DH186" s="15"/>
      <c r="DI186" s="15">
        <f t="shared" si="888"/>
        <v>300</v>
      </c>
      <c r="DK186" s="15"/>
      <c r="DL186" s="15">
        <f t="shared" si="889"/>
        <v>300</v>
      </c>
      <c r="DN186" s="15"/>
      <c r="DO186" s="15">
        <f t="shared" si="890"/>
        <v>300</v>
      </c>
      <c r="DQ186" s="15"/>
      <c r="DR186" s="15">
        <f t="shared" si="891"/>
        <v>300</v>
      </c>
      <c r="DT186" s="15"/>
      <c r="DU186" s="15">
        <f t="shared" si="892"/>
        <v>300</v>
      </c>
      <c r="DW186" s="15"/>
      <c r="DX186" s="15">
        <f t="shared" si="893"/>
        <v>300</v>
      </c>
      <c r="DZ186" s="15"/>
      <c r="EA186" s="15">
        <f t="shared" si="894"/>
        <v>300</v>
      </c>
      <c r="EC186" s="227">
        <v>-300</v>
      </c>
      <c r="ED186" s="15">
        <f t="shared" si="895"/>
        <v>0</v>
      </c>
      <c r="EF186" s="15"/>
      <c r="EG186" s="15">
        <f t="shared" si="896"/>
        <v>0</v>
      </c>
      <c r="EI186" s="15">
        <v>0</v>
      </c>
      <c r="EK186" s="15">
        <v>500</v>
      </c>
      <c r="EM186" s="15"/>
      <c r="EN186" s="15">
        <f t="shared" si="897"/>
        <v>500</v>
      </c>
      <c r="EP186" s="15"/>
      <c r="EQ186" s="15">
        <f t="shared" si="898"/>
        <v>500</v>
      </c>
      <c r="ES186" s="15"/>
      <c r="ET186" s="15">
        <f t="shared" si="899"/>
        <v>500</v>
      </c>
      <c r="EW186" s="15">
        <f t="shared" si="900"/>
        <v>500</v>
      </c>
      <c r="EZ186" s="15">
        <f t="shared" si="901"/>
        <v>500</v>
      </c>
      <c r="FC186" s="15">
        <f t="shared" si="902"/>
        <v>500</v>
      </c>
      <c r="FF186" s="15">
        <f t="shared" si="903"/>
        <v>500</v>
      </c>
      <c r="FI186" s="15">
        <f t="shared" si="917"/>
        <v>500</v>
      </c>
      <c r="FL186" s="15">
        <f t="shared" si="904"/>
        <v>500</v>
      </c>
      <c r="FO186" s="15">
        <f t="shared" si="905"/>
        <v>500</v>
      </c>
      <c r="FR186" s="15">
        <v>500</v>
      </c>
      <c r="FT186" s="15">
        <v>0</v>
      </c>
      <c r="FV186" s="15">
        <v>500</v>
      </c>
      <c r="FW186" s="235" t="e">
        <f t="shared" si="860"/>
        <v>#DIV/0!</v>
      </c>
      <c r="FZ186" s="15">
        <f t="shared" si="906"/>
        <v>500</v>
      </c>
      <c r="GB186" s="15"/>
      <c r="GC186" s="15">
        <f t="shared" si="907"/>
        <v>500</v>
      </c>
      <c r="GE186" s="15"/>
      <c r="GF186" s="15">
        <f t="shared" si="908"/>
        <v>500</v>
      </c>
      <c r="GH186" s="15"/>
      <c r="GI186" s="15">
        <f t="shared" si="909"/>
        <v>500</v>
      </c>
      <c r="GK186" s="15"/>
      <c r="GL186" s="15">
        <f t="shared" si="910"/>
        <v>500</v>
      </c>
      <c r="GN186" s="15"/>
      <c r="GO186" s="15">
        <f t="shared" si="911"/>
        <v>500</v>
      </c>
      <c r="GQ186" s="15"/>
      <c r="GR186" s="15">
        <f t="shared" si="912"/>
        <v>500</v>
      </c>
      <c r="GT186" s="15"/>
      <c r="GU186" s="15">
        <f t="shared" si="913"/>
        <v>500</v>
      </c>
      <c r="GW186" s="15"/>
      <c r="GX186" s="15">
        <f t="shared" si="914"/>
        <v>500</v>
      </c>
      <c r="GZ186" s="15"/>
      <c r="HA186" s="189">
        <f t="shared" si="915"/>
        <v>500</v>
      </c>
      <c r="HC186" s="189">
        <v>0</v>
      </c>
      <c r="HE186" s="15">
        <v>500</v>
      </c>
      <c r="HF186" s="235" t="e">
        <f t="shared" si="861"/>
        <v>#DIV/0!</v>
      </c>
    </row>
    <row r="187" spans="1:214" outlineLevel="1">
      <c r="A187" s="1" t="s">
        <v>71</v>
      </c>
      <c r="B187" s="1" t="s">
        <v>191</v>
      </c>
      <c r="C187" s="4" t="s">
        <v>192</v>
      </c>
      <c r="D187" s="43">
        <v>1000</v>
      </c>
      <c r="E187" s="34">
        <v>308.5</v>
      </c>
      <c r="F187" s="43">
        <v>3085</v>
      </c>
      <c r="G187" s="34">
        <v>100</v>
      </c>
      <c r="H187" s="46">
        <v>3085</v>
      </c>
      <c r="I187" s="36">
        <v>3085</v>
      </c>
      <c r="J187" s="14"/>
      <c r="K187" t="s">
        <v>332</v>
      </c>
      <c r="L187" s="118">
        <v>3000</v>
      </c>
      <c r="M187" s="17">
        <f t="shared" si="853"/>
        <v>-2.7552674230145846E-2</v>
      </c>
      <c r="N187" s="17">
        <f t="shared" si="854"/>
        <v>-2.7552674230145846E-2</v>
      </c>
      <c r="Q187" s="118">
        <v>3000</v>
      </c>
      <c r="R187" s="15">
        <v>1466</v>
      </c>
      <c r="S187" s="118">
        <v>3000</v>
      </c>
      <c r="T187" s="15">
        <f t="shared" si="862"/>
        <v>0</v>
      </c>
      <c r="U187" s="16">
        <f t="shared" si="863"/>
        <v>0</v>
      </c>
      <c r="Y187" s="118">
        <v>3000</v>
      </c>
      <c r="AA187" s="118">
        <v>1500</v>
      </c>
      <c r="AB187" s="185">
        <f t="shared" si="864"/>
        <v>-1500</v>
      </c>
      <c r="AC187" s="187">
        <f t="shared" si="865"/>
        <v>-1500</v>
      </c>
      <c r="AD187" s="187"/>
      <c r="AE187" s="118">
        <v>1500</v>
      </c>
      <c r="AF187" s="182"/>
      <c r="AH187" s="15">
        <v>1466</v>
      </c>
      <c r="AI187" s="17">
        <f t="shared" si="866"/>
        <v>0.97733333333333339</v>
      </c>
      <c r="AK187" s="118">
        <v>3000</v>
      </c>
      <c r="AS187" s="15">
        <f t="shared" si="867"/>
        <v>3000</v>
      </c>
      <c r="AV187" s="15">
        <f t="shared" si="868"/>
        <v>3000</v>
      </c>
      <c r="AX187" s="15"/>
      <c r="AY187" s="15">
        <f t="shared" si="869"/>
        <v>3000</v>
      </c>
      <c r="BB187" s="15">
        <f t="shared" si="870"/>
        <v>3000</v>
      </c>
      <c r="BD187" s="15">
        <v>600</v>
      </c>
      <c r="BE187" s="15">
        <f t="shared" si="871"/>
        <v>3600</v>
      </c>
      <c r="BG187" s="15">
        <v>-1000</v>
      </c>
      <c r="BH187" s="15">
        <f t="shared" si="872"/>
        <v>2600</v>
      </c>
      <c r="BJ187" s="15">
        <v>2512</v>
      </c>
      <c r="BK187" s="235">
        <f t="shared" si="873"/>
        <v>0.96615384615384614</v>
      </c>
      <c r="BM187" s="15">
        <v>3000</v>
      </c>
      <c r="BN187" s="235">
        <f t="shared" si="874"/>
        <v>1.1942675159235669</v>
      </c>
      <c r="BO187" s="235">
        <f t="shared" si="916"/>
        <v>1.1538461538461537</v>
      </c>
      <c r="BQ187" s="15"/>
      <c r="BR187" s="15">
        <f t="shared" si="875"/>
        <v>3000</v>
      </c>
      <c r="BT187" s="15"/>
      <c r="BU187" s="15">
        <f t="shared" si="876"/>
        <v>3000</v>
      </c>
      <c r="BW187" s="15"/>
      <c r="BX187" s="15">
        <f t="shared" si="877"/>
        <v>3000</v>
      </c>
      <c r="BZ187" s="15"/>
      <c r="CA187" s="15">
        <f t="shared" si="878"/>
        <v>3000</v>
      </c>
      <c r="CC187" s="15"/>
      <c r="CD187" s="15">
        <f t="shared" si="879"/>
        <v>3000</v>
      </c>
      <c r="CF187" s="15"/>
      <c r="CG187" s="15">
        <f t="shared" si="880"/>
        <v>3000</v>
      </c>
      <c r="CI187" s="15"/>
      <c r="CJ187" s="15">
        <f t="shared" si="881"/>
        <v>3000</v>
      </c>
      <c r="CM187" s="15">
        <f t="shared" si="882"/>
        <v>3000</v>
      </c>
      <c r="CP187" s="15">
        <f t="shared" si="883"/>
        <v>3000</v>
      </c>
      <c r="CS187" s="15">
        <f t="shared" si="884"/>
        <v>3000</v>
      </c>
      <c r="CU187" s="227">
        <v>-3000</v>
      </c>
      <c r="CV187" s="15">
        <f t="shared" si="885"/>
        <v>0</v>
      </c>
      <c r="CX187" s="227"/>
      <c r="CY187" s="15">
        <f t="shared" si="886"/>
        <v>0</v>
      </c>
      <c r="DA187" s="15">
        <v>0</v>
      </c>
      <c r="DC187" s="15">
        <v>3000</v>
      </c>
      <c r="DE187" s="15"/>
      <c r="DF187" s="15">
        <f t="shared" si="887"/>
        <v>3000</v>
      </c>
      <c r="DH187" s="15"/>
      <c r="DI187" s="15">
        <f t="shared" si="888"/>
        <v>3000</v>
      </c>
      <c r="DK187" s="15"/>
      <c r="DL187" s="15">
        <f t="shared" si="889"/>
        <v>3000</v>
      </c>
      <c r="DN187" s="15"/>
      <c r="DO187" s="15">
        <f t="shared" si="890"/>
        <v>3000</v>
      </c>
      <c r="DQ187" s="15"/>
      <c r="DR187" s="15">
        <f t="shared" si="891"/>
        <v>3000</v>
      </c>
      <c r="DT187" s="15"/>
      <c r="DU187" s="15">
        <f t="shared" si="892"/>
        <v>3000</v>
      </c>
      <c r="DW187" s="15"/>
      <c r="DX187" s="15">
        <f t="shared" si="893"/>
        <v>3000</v>
      </c>
      <c r="DZ187" s="15"/>
      <c r="EA187" s="15">
        <f t="shared" si="894"/>
        <v>3000</v>
      </c>
      <c r="EC187" s="227">
        <v>-3000</v>
      </c>
      <c r="ED187" s="15">
        <f t="shared" si="895"/>
        <v>0</v>
      </c>
      <c r="EF187" s="15"/>
      <c r="EG187" s="15">
        <f t="shared" si="896"/>
        <v>0</v>
      </c>
      <c r="EI187" s="15">
        <v>0</v>
      </c>
      <c r="EK187" s="15">
        <v>4000</v>
      </c>
      <c r="EM187" s="15"/>
      <c r="EN187" s="15">
        <f t="shared" si="897"/>
        <v>4000</v>
      </c>
      <c r="EP187" s="15"/>
      <c r="EQ187" s="15">
        <f t="shared" si="898"/>
        <v>4000</v>
      </c>
      <c r="ES187" s="15"/>
      <c r="ET187" s="15">
        <f t="shared" si="899"/>
        <v>4000</v>
      </c>
      <c r="EW187" s="15">
        <f t="shared" si="900"/>
        <v>4000</v>
      </c>
      <c r="EZ187" s="15">
        <f t="shared" si="901"/>
        <v>4000</v>
      </c>
      <c r="FC187" s="15">
        <f t="shared" si="902"/>
        <v>4000</v>
      </c>
      <c r="FF187" s="15">
        <f t="shared" si="903"/>
        <v>4000</v>
      </c>
      <c r="FI187" s="15">
        <f t="shared" si="917"/>
        <v>4000</v>
      </c>
      <c r="FL187" s="15">
        <f t="shared" si="904"/>
        <v>4000</v>
      </c>
      <c r="FO187" s="15">
        <f t="shared" si="905"/>
        <v>4000</v>
      </c>
      <c r="FQ187" s="227">
        <v>2060</v>
      </c>
      <c r="FR187" s="15">
        <v>6060</v>
      </c>
      <c r="FT187" s="15">
        <v>6054.99</v>
      </c>
      <c r="FV187" s="15">
        <v>4000</v>
      </c>
      <c r="FW187" s="235">
        <f t="shared" si="860"/>
        <v>0.66061215625459335</v>
      </c>
      <c r="FZ187" s="15">
        <f t="shared" si="906"/>
        <v>4000</v>
      </c>
      <c r="GB187" s="15"/>
      <c r="GC187" s="15">
        <f t="shared" si="907"/>
        <v>4000</v>
      </c>
      <c r="GE187" s="15"/>
      <c r="GF187" s="15">
        <f t="shared" si="908"/>
        <v>4000</v>
      </c>
      <c r="GH187" s="15"/>
      <c r="GI187" s="15">
        <f t="shared" si="909"/>
        <v>4000</v>
      </c>
      <c r="GK187" s="15"/>
      <c r="GL187" s="15">
        <f t="shared" si="910"/>
        <v>4000</v>
      </c>
      <c r="GN187" s="15"/>
      <c r="GO187" s="15">
        <f t="shared" si="911"/>
        <v>4000</v>
      </c>
      <c r="GQ187" s="15"/>
      <c r="GR187" s="15">
        <f t="shared" si="912"/>
        <v>4000</v>
      </c>
      <c r="GT187" s="15"/>
      <c r="GU187" s="15">
        <f t="shared" si="913"/>
        <v>4000</v>
      </c>
      <c r="GW187" s="15"/>
      <c r="GX187" s="15">
        <f t="shared" si="914"/>
        <v>4000</v>
      </c>
      <c r="GZ187" s="15"/>
      <c r="HA187" s="189">
        <f t="shared" si="915"/>
        <v>4000</v>
      </c>
      <c r="HC187" s="189">
        <v>3109</v>
      </c>
      <c r="HE187" s="15">
        <v>4000</v>
      </c>
      <c r="HF187" s="235">
        <f t="shared" si="861"/>
        <v>1.2865873271148278</v>
      </c>
    </row>
    <row r="188" spans="1:214" outlineLevel="1">
      <c r="A188" s="1" t="s">
        <v>71</v>
      </c>
      <c r="B188" s="1" t="s">
        <v>113</v>
      </c>
      <c r="C188" s="4" t="s">
        <v>114</v>
      </c>
      <c r="D188" s="43">
        <v>65000</v>
      </c>
      <c r="E188" s="34">
        <v>26.14</v>
      </c>
      <c r="F188" s="43">
        <v>65000</v>
      </c>
      <c r="G188" s="34">
        <v>26.14</v>
      </c>
      <c r="H188" s="46">
        <v>16990</v>
      </c>
      <c r="I188" s="36">
        <v>16990</v>
      </c>
      <c r="J188" s="14"/>
      <c r="L188" s="118">
        <v>30000</v>
      </c>
      <c r="M188" s="17">
        <f t="shared" si="853"/>
        <v>-0.53846153846153844</v>
      </c>
      <c r="N188" s="17">
        <f t="shared" si="854"/>
        <v>0.76574455562095345</v>
      </c>
      <c r="Q188" s="118">
        <v>75000</v>
      </c>
      <c r="R188" s="15">
        <v>0</v>
      </c>
      <c r="S188" s="158">
        <v>38000</v>
      </c>
      <c r="T188" s="15">
        <f t="shared" si="862"/>
        <v>-37000</v>
      </c>
      <c r="U188" s="16">
        <f t="shared" si="863"/>
        <v>-0.49333333333333329</v>
      </c>
      <c r="V188" s="140">
        <v>40000</v>
      </c>
      <c r="W188">
        <v>10000</v>
      </c>
      <c r="Y188" s="118">
        <v>38000</v>
      </c>
      <c r="AA188" s="118">
        <v>38000</v>
      </c>
      <c r="AB188" s="185">
        <f t="shared" si="864"/>
        <v>0</v>
      </c>
      <c r="AC188" s="187">
        <f t="shared" si="865"/>
        <v>0</v>
      </c>
      <c r="AD188" s="187"/>
      <c r="AE188" s="118">
        <v>38000</v>
      </c>
      <c r="AF188" s="182"/>
      <c r="AH188" s="15">
        <v>37497.9</v>
      </c>
      <c r="AI188" s="17">
        <f t="shared" si="866"/>
        <v>0.98678684210526324</v>
      </c>
      <c r="AK188" s="118">
        <v>20000</v>
      </c>
      <c r="AS188" s="15">
        <f t="shared" si="867"/>
        <v>20000</v>
      </c>
      <c r="AV188" s="15">
        <f t="shared" si="868"/>
        <v>20000</v>
      </c>
      <c r="AX188" s="15"/>
      <c r="AY188" s="15">
        <f t="shared" si="869"/>
        <v>20000</v>
      </c>
      <c r="BA188" s="227">
        <f>-1000-2000</f>
        <v>-3000</v>
      </c>
      <c r="BB188" s="15">
        <f t="shared" si="870"/>
        <v>17000</v>
      </c>
      <c r="BD188" s="15"/>
      <c r="BE188" s="15">
        <f t="shared" si="871"/>
        <v>17000</v>
      </c>
      <c r="BG188" s="15"/>
      <c r="BH188" s="15">
        <f t="shared" si="872"/>
        <v>17000</v>
      </c>
      <c r="BJ188" s="15">
        <v>12616.67</v>
      </c>
      <c r="BK188" s="235">
        <f t="shared" si="873"/>
        <v>0.74215705882352945</v>
      </c>
      <c r="BM188" s="15">
        <v>30000</v>
      </c>
      <c r="BN188" s="235">
        <f t="shared" si="874"/>
        <v>2.3778065052030368</v>
      </c>
      <c r="BO188" s="235">
        <f t="shared" si="916"/>
        <v>1.7647058823529411</v>
      </c>
      <c r="BQ188" s="15"/>
      <c r="BR188" s="15">
        <f t="shared" si="875"/>
        <v>30000</v>
      </c>
      <c r="BT188" s="15"/>
      <c r="BU188" s="15">
        <f t="shared" si="876"/>
        <v>30000</v>
      </c>
      <c r="BW188" s="15"/>
      <c r="BX188" s="15">
        <f t="shared" si="877"/>
        <v>30000</v>
      </c>
      <c r="BZ188" s="15"/>
      <c r="CA188" s="15">
        <f t="shared" si="878"/>
        <v>30000</v>
      </c>
      <c r="CC188" s="15"/>
      <c r="CD188" s="15">
        <f t="shared" si="879"/>
        <v>30000</v>
      </c>
      <c r="CF188" s="15">
        <v>30000</v>
      </c>
      <c r="CG188" s="15">
        <f t="shared" si="880"/>
        <v>60000</v>
      </c>
      <c r="CI188" s="15"/>
      <c r="CJ188" s="15">
        <f t="shared" si="881"/>
        <v>60000</v>
      </c>
      <c r="CL188" s="15">
        <v>50000</v>
      </c>
      <c r="CM188" s="15">
        <f t="shared" si="882"/>
        <v>110000</v>
      </c>
      <c r="CO188" s="15">
        <v>10000</v>
      </c>
      <c r="CP188" s="15">
        <f t="shared" si="883"/>
        <v>120000</v>
      </c>
      <c r="CS188" s="15">
        <f t="shared" si="884"/>
        <v>120000</v>
      </c>
      <c r="CU188" s="227">
        <v>-2000</v>
      </c>
      <c r="CV188" s="15">
        <f t="shared" si="885"/>
        <v>118000</v>
      </c>
      <c r="CX188" s="227"/>
      <c r="CY188" s="15">
        <f t="shared" si="886"/>
        <v>118000</v>
      </c>
      <c r="DA188" s="15">
        <v>116797</v>
      </c>
      <c r="DC188" s="15">
        <v>50000</v>
      </c>
      <c r="DE188" s="15"/>
      <c r="DF188" s="15">
        <f t="shared" si="887"/>
        <v>50000</v>
      </c>
      <c r="DH188" s="15"/>
      <c r="DI188" s="15">
        <f t="shared" si="888"/>
        <v>50000</v>
      </c>
      <c r="DK188" s="15"/>
      <c r="DL188" s="15">
        <f t="shared" si="889"/>
        <v>50000</v>
      </c>
      <c r="DN188" s="15"/>
      <c r="DO188" s="15">
        <f t="shared" si="890"/>
        <v>50000</v>
      </c>
      <c r="DQ188" s="15"/>
      <c r="DR188" s="15">
        <f t="shared" si="891"/>
        <v>50000</v>
      </c>
      <c r="DT188" s="15"/>
      <c r="DU188" s="15">
        <f t="shared" si="892"/>
        <v>50000</v>
      </c>
      <c r="DW188" s="15"/>
      <c r="DX188" s="15">
        <f t="shared" si="893"/>
        <v>50000</v>
      </c>
      <c r="DZ188" s="15"/>
      <c r="EA188" s="15">
        <f t="shared" si="894"/>
        <v>50000</v>
      </c>
      <c r="EC188" s="15"/>
      <c r="ED188" s="15">
        <f t="shared" si="895"/>
        <v>50000</v>
      </c>
      <c r="EF188" s="227">
        <v>-10000</v>
      </c>
      <c r="EG188" s="15">
        <f t="shared" si="896"/>
        <v>40000</v>
      </c>
      <c r="EI188" s="15">
        <v>36048</v>
      </c>
      <c r="EK188" s="15">
        <v>20000</v>
      </c>
      <c r="EM188" s="15"/>
      <c r="EN188" s="15">
        <f t="shared" si="897"/>
        <v>20000</v>
      </c>
      <c r="EP188" s="15"/>
      <c r="EQ188" s="15">
        <f t="shared" si="898"/>
        <v>20000</v>
      </c>
      <c r="ES188" s="15"/>
      <c r="ET188" s="15">
        <f t="shared" si="899"/>
        <v>20000</v>
      </c>
      <c r="EW188" s="15">
        <f t="shared" si="900"/>
        <v>20000</v>
      </c>
      <c r="EZ188" s="15">
        <f t="shared" si="901"/>
        <v>20000</v>
      </c>
      <c r="FC188" s="15">
        <f t="shared" si="902"/>
        <v>20000</v>
      </c>
      <c r="FF188" s="15">
        <f t="shared" si="903"/>
        <v>20000</v>
      </c>
      <c r="FI188" s="15">
        <f t="shared" si="917"/>
        <v>20000</v>
      </c>
      <c r="FK188" s="227">
        <v>-10000</v>
      </c>
      <c r="FL188" s="15">
        <f t="shared" si="904"/>
        <v>10000</v>
      </c>
      <c r="FO188" s="15">
        <f t="shared" si="905"/>
        <v>10000</v>
      </c>
      <c r="FQ188" s="227">
        <v>-5000</v>
      </c>
      <c r="FR188" s="15">
        <v>5000</v>
      </c>
      <c r="FT188" s="15">
        <v>4777.08</v>
      </c>
      <c r="FV188" s="15">
        <v>5000</v>
      </c>
      <c r="FW188" s="235">
        <f t="shared" si="860"/>
        <v>1.0466644896045283</v>
      </c>
      <c r="FZ188" s="15">
        <f t="shared" si="906"/>
        <v>5000</v>
      </c>
      <c r="GB188" s="15"/>
      <c r="GC188" s="15">
        <f t="shared" si="907"/>
        <v>5000</v>
      </c>
      <c r="GE188" s="15"/>
      <c r="GF188" s="15">
        <f t="shared" si="908"/>
        <v>5000</v>
      </c>
      <c r="GH188" s="15"/>
      <c r="GI188" s="15">
        <f t="shared" si="909"/>
        <v>5000</v>
      </c>
      <c r="GK188" s="15"/>
      <c r="GL188" s="15">
        <f t="shared" si="910"/>
        <v>5000</v>
      </c>
      <c r="GN188" s="15"/>
      <c r="GO188" s="15">
        <f t="shared" si="911"/>
        <v>5000</v>
      </c>
      <c r="GQ188" s="15"/>
      <c r="GR188" s="15">
        <f t="shared" si="912"/>
        <v>5000</v>
      </c>
      <c r="GT188" s="15"/>
      <c r="GU188" s="15">
        <f t="shared" si="913"/>
        <v>5000</v>
      </c>
      <c r="GW188" s="15"/>
      <c r="GX188" s="15">
        <f t="shared" si="914"/>
        <v>5000</v>
      </c>
      <c r="GZ188" s="15"/>
      <c r="HA188" s="189">
        <f t="shared" si="915"/>
        <v>5000</v>
      </c>
      <c r="HC188" s="189">
        <v>400</v>
      </c>
      <c r="HE188" s="15">
        <v>5000</v>
      </c>
      <c r="HF188" s="235">
        <f t="shared" si="861"/>
        <v>12.5</v>
      </c>
    </row>
    <row r="189" spans="1:214" outlineLevel="1">
      <c r="A189" s="1" t="s">
        <v>71</v>
      </c>
      <c r="B189" s="1" t="s">
        <v>146</v>
      </c>
      <c r="C189" s="4" t="s">
        <v>147</v>
      </c>
      <c r="D189" s="43">
        <v>90000</v>
      </c>
      <c r="E189" s="34">
        <v>82.86</v>
      </c>
      <c r="F189" s="43">
        <v>90000</v>
      </c>
      <c r="G189" s="34">
        <v>82.86</v>
      </c>
      <c r="H189" s="46">
        <v>74576.820000000007</v>
      </c>
      <c r="I189" s="36">
        <v>75000</v>
      </c>
      <c r="J189" s="14"/>
      <c r="L189" s="118">
        <v>195000</v>
      </c>
      <c r="M189" s="17">
        <f t="shared" si="853"/>
        <v>1.1666666666666665</v>
      </c>
      <c r="N189" s="17">
        <f t="shared" si="854"/>
        <v>1.6</v>
      </c>
      <c r="Q189" s="118">
        <v>185000</v>
      </c>
      <c r="R189" s="15">
        <v>13271</v>
      </c>
      <c r="S189" s="158">
        <v>46500</v>
      </c>
      <c r="T189" s="15">
        <f t="shared" si="862"/>
        <v>-138500</v>
      </c>
      <c r="U189" s="16">
        <f t="shared" si="863"/>
        <v>-0.74864864864864866</v>
      </c>
      <c r="V189" s="140">
        <v>185000</v>
      </c>
      <c r="W189">
        <v>-10000</v>
      </c>
      <c r="Y189" s="118">
        <v>46500</v>
      </c>
      <c r="AA189" s="118">
        <v>25000</v>
      </c>
      <c r="AB189" s="185">
        <f t="shared" si="864"/>
        <v>-21500</v>
      </c>
      <c r="AC189" s="187">
        <f t="shared" si="865"/>
        <v>-21500</v>
      </c>
      <c r="AD189" s="187"/>
      <c r="AE189" s="118">
        <v>25000</v>
      </c>
      <c r="AF189" s="182"/>
      <c r="AH189" s="15">
        <v>23484.240000000002</v>
      </c>
      <c r="AI189" s="17">
        <f t="shared" si="866"/>
        <v>0.93936960000000003</v>
      </c>
      <c r="AK189" s="118">
        <v>40000</v>
      </c>
      <c r="AS189" s="15">
        <f t="shared" si="867"/>
        <v>40000</v>
      </c>
      <c r="AV189" s="15">
        <f t="shared" si="868"/>
        <v>40000</v>
      </c>
      <c r="AX189" s="15"/>
      <c r="AY189" s="15">
        <f t="shared" si="869"/>
        <v>40000</v>
      </c>
      <c r="BB189" s="15">
        <f t="shared" si="870"/>
        <v>40000</v>
      </c>
      <c r="BD189" s="15">
        <v>40000</v>
      </c>
      <c r="BE189" s="15">
        <f t="shared" si="871"/>
        <v>80000</v>
      </c>
      <c r="BG189" s="15"/>
      <c r="BH189" s="15">
        <f t="shared" si="872"/>
        <v>80000</v>
      </c>
      <c r="BJ189" s="15">
        <v>67640.02</v>
      </c>
      <c r="BK189" s="235">
        <f t="shared" si="873"/>
        <v>0.84550025000000006</v>
      </c>
      <c r="BM189" s="15">
        <v>52500</v>
      </c>
      <c r="BN189" s="235">
        <f t="shared" si="874"/>
        <v>0.77616771846016597</v>
      </c>
      <c r="BO189" s="235">
        <f t="shared" si="916"/>
        <v>0.65625</v>
      </c>
      <c r="BQ189" s="15"/>
      <c r="BR189" s="15">
        <f t="shared" si="875"/>
        <v>52500</v>
      </c>
      <c r="BT189" s="15"/>
      <c r="BU189" s="15">
        <f t="shared" si="876"/>
        <v>52500</v>
      </c>
      <c r="BW189" s="15"/>
      <c r="BX189" s="15">
        <f t="shared" si="877"/>
        <v>52500</v>
      </c>
      <c r="BZ189" s="15"/>
      <c r="CA189" s="15">
        <f t="shared" si="878"/>
        <v>52500</v>
      </c>
      <c r="CC189" s="15"/>
      <c r="CD189" s="15">
        <f t="shared" si="879"/>
        <v>52500</v>
      </c>
      <c r="CF189" s="15"/>
      <c r="CG189" s="15">
        <f t="shared" si="880"/>
        <v>52500</v>
      </c>
      <c r="CI189" s="15"/>
      <c r="CJ189" s="15">
        <f t="shared" si="881"/>
        <v>52500</v>
      </c>
      <c r="CL189" s="15">
        <v>30000</v>
      </c>
      <c r="CM189" s="15">
        <f t="shared" si="882"/>
        <v>82500</v>
      </c>
      <c r="CO189" s="15">
        <v>5000</v>
      </c>
      <c r="CP189" s="15">
        <f t="shared" si="883"/>
        <v>87500</v>
      </c>
      <c r="CS189" s="15">
        <f t="shared" si="884"/>
        <v>87500</v>
      </c>
      <c r="CU189" s="227">
        <v>2000</v>
      </c>
      <c r="CV189" s="15">
        <f t="shared" si="885"/>
        <v>89500</v>
      </c>
      <c r="CX189" s="227"/>
      <c r="CY189" s="15">
        <f t="shared" si="886"/>
        <v>89500</v>
      </c>
      <c r="DA189" s="15">
        <v>89349.8</v>
      </c>
      <c r="DC189" s="15">
        <v>90000</v>
      </c>
      <c r="DE189" s="15"/>
      <c r="DF189" s="15">
        <f t="shared" si="887"/>
        <v>90000</v>
      </c>
      <c r="DH189" s="15"/>
      <c r="DI189" s="15">
        <f t="shared" si="888"/>
        <v>90000</v>
      </c>
      <c r="DK189" s="15"/>
      <c r="DL189" s="15">
        <f t="shared" si="889"/>
        <v>90000</v>
      </c>
      <c r="DN189" s="15"/>
      <c r="DO189" s="15">
        <f t="shared" si="890"/>
        <v>90000</v>
      </c>
      <c r="DQ189" s="15"/>
      <c r="DR189" s="15">
        <f t="shared" si="891"/>
        <v>90000</v>
      </c>
      <c r="DT189" s="15"/>
      <c r="DU189" s="15">
        <f t="shared" si="892"/>
        <v>90000</v>
      </c>
      <c r="DW189" s="15"/>
      <c r="DX189" s="15">
        <f t="shared" si="893"/>
        <v>90000</v>
      </c>
      <c r="DZ189" s="15"/>
      <c r="EA189" s="15">
        <f t="shared" si="894"/>
        <v>90000</v>
      </c>
      <c r="EC189" s="15"/>
      <c r="ED189" s="15">
        <f t="shared" si="895"/>
        <v>90000</v>
      </c>
      <c r="EF189" s="227">
        <v>20000</v>
      </c>
      <c r="EG189" s="15">
        <f t="shared" si="896"/>
        <v>110000</v>
      </c>
      <c r="EI189" s="15">
        <v>109354.52</v>
      </c>
      <c r="EK189" s="15">
        <v>50000</v>
      </c>
      <c r="EM189" s="15"/>
      <c r="EN189" s="15">
        <f t="shared" si="897"/>
        <v>50000</v>
      </c>
      <c r="EP189" s="15"/>
      <c r="EQ189" s="15">
        <f t="shared" si="898"/>
        <v>50000</v>
      </c>
      <c r="ES189" s="15"/>
      <c r="ET189" s="15">
        <f t="shared" si="899"/>
        <v>50000</v>
      </c>
      <c r="EW189" s="15">
        <f t="shared" si="900"/>
        <v>50000</v>
      </c>
      <c r="EZ189" s="15">
        <f t="shared" si="901"/>
        <v>50000</v>
      </c>
      <c r="FC189" s="15">
        <f t="shared" si="902"/>
        <v>50000</v>
      </c>
      <c r="FF189" s="15">
        <f t="shared" si="903"/>
        <v>50000</v>
      </c>
      <c r="FI189" s="15">
        <f t="shared" si="917"/>
        <v>50000</v>
      </c>
      <c r="FL189" s="15">
        <f t="shared" si="904"/>
        <v>50000</v>
      </c>
      <c r="FO189" s="15">
        <f t="shared" si="905"/>
        <v>50000</v>
      </c>
      <c r="FR189" s="15">
        <v>50000</v>
      </c>
      <c r="FT189" s="15">
        <v>40739</v>
      </c>
      <c r="FV189" s="15">
        <v>40000</v>
      </c>
      <c r="FW189" s="235">
        <f t="shared" si="860"/>
        <v>0.98186013402390826</v>
      </c>
      <c r="FY189" s="227">
        <v>25000</v>
      </c>
      <c r="FZ189" s="15">
        <f t="shared" si="906"/>
        <v>65000</v>
      </c>
      <c r="GB189" s="15"/>
      <c r="GC189" s="15">
        <f t="shared" si="907"/>
        <v>65000</v>
      </c>
      <c r="GE189" s="227">
        <v>50000</v>
      </c>
      <c r="GF189" s="15">
        <f t="shared" si="908"/>
        <v>115000</v>
      </c>
      <c r="GH189" s="15"/>
      <c r="GI189" s="15">
        <f t="shared" si="909"/>
        <v>115000</v>
      </c>
      <c r="GK189" s="15"/>
      <c r="GL189" s="15">
        <f t="shared" si="910"/>
        <v>115000</v>
      </c>
      <c r="GN189" s="15"/>
      <c r="GO189" s="15">
        <f t="shared" si="911"/>
        <v>115000</v>
      </c>
      <c r="GQ189" s="15"/>
      <c r="GR189" s="15">
        <f t="shared" si="912"/>
        <v>115000</v>
      </c>
      <c r="GT189" s="15"/>
      <c r="GU189" s="15">
        <f t="shared" si="913"/>
        <v>115000</v>
      </c>
      <c r="GW189" s="15"/>
      <c r="GX189" s="15">
        <f t="shared" si="914"/>
        <v>115000</v>
      </c>
      <c r="GZ189" s="15"/>
      <c r="HA189" s="189">
        <f t="shared" si="915"/>
        <v>115000</v>
      </c>
      <c r="HC189" s="189">
        <v>89491.18</v>
      </c>
      <c r="HE189" s="15">
        <v>90000</v>
      </c>
      <c r="HF189" s="235">
        <f t="shared" si="861"/>
        <v>1.0056856999762436</v>
      </c>
    </row>
    <row r="190" spans="1:214" outlineLevel="1">
      <c r="A190" s="1" t="s">
        <v>71</v>
      </c>
      <c r="B190" s="1" t="s">
        <v>557</v>
      </c>
      <c r="C190" s="4" t="s">
        <v>558</v>
      </c>
      <c r="D190" s="43"/>
      <c r="E190" s="34"/>
      <c r="F190" s="43"/>
      <c r="G190" s="34"/>
      <c r="H190" s="46"/>
      <c r="I190" s="36"/>
      <c r="J190" s="14"/>
      <c r="M190" s="17"/>
      <c r="N190" s="17"/>
      <c r="S190" s="158"/>
      <c r="U190" s="16"/>
      <c r="Y190" s="118"/>
      <c r="AB190" s="185"/>
      <c r="AC190" s="187"/>
      <c r="AD190" s="187"/>
      <c r="AF190" s="182"/>
      <c r="AH190" s="15"/>
      <c r="AI190" s="17"/>
      <c r="AS190" s="15"/>
      <c r="AV190" s="15"/>
      <c r="AX190" s="15"/>
      <c r="AY190" s="15"/>
      <c r="BB190" s="15"/>
      <c r="BD190" s="15"/>
      <c r="BE190" s="15"/>
      <c r="BG190" s="15"/>
      <c r="BH190" s="15"/>
      <c r="BK190" s="235"/>
      <c r="BM190" s="15"/>
      <c r="BN190" s="235"/>
      <c r="BO190" s="235"/>
      <c r="BQ190" s="15"/>
      <c r="BR190" s="15"/>
      <c r="BT190" s="15"/>
      <c r="BU190" s="15"/>
      <c r="BW190" s="15"/>
      <c r="BX190" s="15"/>
      <c r="BZ190" s="15"/>
      <c r="CA190" s="15"/>
      <c r="CC190" s="15"/>
      <c r="CD190" s="15"/>
      <c r="CF190" s="15">
        <v>10000</v>
      </c>
      <c r="CG190" s="15">
        <f t="shared" si="880"/>
        <v>10000</v>
      </c>
      <c r="CI190" s="15"/>
      <c r="CJ190" s="15">
        <f t="shared" si="881"/>
        <v>10000</v>
      </c>
      <c r="CL190" s="15">
        <v>20000</v>
      </c>
      <c r="CM190" s="15">
        <f t="shared" si="882"/>
        <v>30000</v>
      </c>
      <c r="CP190" s="15">
        <f t="shared" si="883"/>
        <v>30000</v>
      </c>
      <c r="CS190" s="15">
        <f t="shared" si="884"/>
        <v>30000</v>
      </c>
      <c r="CV190" s="15">
        <f t="shared" si="885"/>
        <v>30000</v>
      </c>
      <c r="CY190" s="15">
        <f t="shared" si="886"/>
        <v>30000</v>
      </c>
      <c r="DA190" s="15">
        <v>27871.33</v>
      </c>
      <c r="DC190" s="15">
        <f>12*6400</f>
        <v>76800</v>
      </c>
      <c r="DE190" s="15"/>
      <c r="DF190" s="15">
        <f t="shared" si="887"/>
        <v>76800</v>
      </c>
      <c r="DH190" s="15"/>
      <c r="DI190" s="15">
        <f t="shared" si="888"/>
        <v>76800</v>
      </c>
      <c r="DK190" s="15"/>
      <c r="DL190" s="15">
        <f t="shared" si="889"/>
        <v>76800</v>
      </c>
      <c r="DN190" s="15"/>
      <c r="DO190" s="15">
        <f t="shared" si="890"/>
        <v>76800</v>
      </c>
      <c r="DQ190" s="15"/>
      <c r="DR190" s="15">
        <f t="shared" si="891"/>
        <v>76800</v>
      </c>
      <c r="DT190" s="15"/>
      <c r="DU190" s="15">
        <f t="shared" si="892"/>
        <v>76800</v>
      </c>
      <c r="DW190" s="15"/>
      <c r="DX190" s="15">
        <f t="shared" si="893"/>
        <v>76800</v>
      </c>
      <c r="DZ190" s="15"/>
      <c r="EA190" s="15">
        <f t="shared" si="894"/>
        <v>76800</v>
      </c>
      <c r="EC190" s="15"/>
      <c r="ED190" s="15">
        <f t="shared" si="895"/>
        <v>76800</v>
      </c>
      <c r="EF190" s="15"/>
      <c r="EG190" s="15">
        <f t="shared" si="896"/>
        <v>76800</v>
      </c>
      <c r="EI190" s="15">
        <v>69584.259999999995</v>
      </c>
      <c r="EK190" s="15">
        <v>64000</v>
      </c>
      <c r="EM190" s="15"/>
      <c r="EN190" s="15">
        <f t="shared" si="897"/>
        <v>64000</v>
      </c>
      <c r="EP190" s="15"/>
      <c r="EQ190" s="15">
        <f t="shared" si="898"/>
        <v>64000</v>
      </c>
      <c r="ES190" s="15"/>
      <c r="ET190" s="15">
        <f t="shared" si="899"/>
        <v>64000</v>
      </c>
      <c r="EW190" s="15">
        <f t="shared" si="900"/>
        <v>64000</v>
      </c>
      <c r="EZ190" s="15">
        <f t="shared" si="901"/>
        <v>64000</v>
      </c>
      <c r="FC190" s="15">
        <f t="shared" si="902"/>
        <v>64000</v>
      </c>
      <c r="FF190" s="15">
        <f t="shared" si="903"/>
        <v>64000</v>
      </c>
      <c r="FI190" s="15">
        <f t="shared" si="917"/>
        <v>64000</v>
      </c>
      <c r="FK190" s="227">
        <v>-4000</v>
      </c>
      <c r="FL190" s="15">
        <f t="shared" si="904"/>
        <v>60000</v>
      </c>
      <c r="FO190" s="15">
        <f t="shared" si="905"/>
        <v>60000</v>
      </c>
      <c r="FR190" s="15">
        <v>60000</v>
      </c>
      <c r="FT190" s="15">
        <v>57865.4</v>
      </c>
      <c r="FV190" s="15">
        <v>58000</v>
      </c>
      <c r="FW190" s="235">
        <f t="shared" si="860"/>
        <v>1.0023260877830276</v>
      </c>
      <c r="FZ190" s="15">
        <f t="shared" si="906"/>
        <v>58000</v>
      </c>
      <c r="GB190" s="15"/>
      <c r="GC190" s="15">
        <f t="shared" si="907"/>
        <v>58000</v>
      </c>
      <c r="GE190" s="227">
        <v>-3000</v>
      </c>
      <c r="GF190" s="15">
        <f t="shared" si="908"/>
        <v>55000</v>
      </c>
      <c r="GH190" s="15"/>
      <c r="GI190" s="15">
        <f t="shared" si="909"/>
        <v>55000</v>
      </c>
      <c r="GK190" s="15"/>
      <c r="GL190" s="15">
        <f t="shared" si="910"/>
        <v>55000</v>
      </c>
      <c r="GN190" s="15"/>
      <c r="GO190" s="15">
        <f t="shared" si="911"/>
        <v>55000</v>
      </c>
      <c r="GQ190" s="15"/>
      <c r="GR190" s="15">
        <f t="shared" si="912"/>
        <v>55000</v>
      </c>
      <c r="GT190" s="15"/>
      <c r="GU190" s="15">
        <f t="shared" si="913"/>
        <v>55000</v>
      </c>
      <c r="GW190" s="15"/>
      <c r="GX190" s="15">
        <f t="shared" si="914"/>
        <v>55000</v>
      </c>
      <c r="GZ190" s="15"/>
      <c r="HA190" s="189">
        <f t="shared" si="915"/>
        <v>55000</v>
      </c>
      <c r="HC190" s="189">
        <v>46010.11</v>
      </c>
      <c r="HE190" s="15">
        <v>46000</v>
      </c>
      <c r="HF190" s="235">
        <f t="shared" si="861"/>
        <v>0.99978026568508527</v>
      </c>
    </row>
    <row r="191" spans="1:214" outlineLevel="1">
      <c r="A191" s="1" t="s">
        <v>71</v>
      </c>
      <c r="B191" s="1" t="s">
        <v>193</v>
      </c>
      <c r="C191" s="4" t="s">
        <v>194</v>
      </c>
      <c r="D191" s="43">
        <v>12000</v>
      </c>
      <c r="E191" s="34">
        <v>110.2</v>
      </c>
      <c r="F191" s="43">
        <v>20000</v>
      </c>
      <c r="G191" s="34">
        <v>66.12</v>
      </c>
      <c r="H191" s="46">
        <v>13223.5</v>
      </c>
      <c r="I191" s="36">
        <v>16000</v>
      </c>
      <c r="J191" s="14"/>
      <c r="K191" t="s">
        <v>332</v>
      </c>
      <c r="L191" s="118">
        <v>20000</v>
      </c>
      <c r="M191" s="17">
        <f t="shared" si="853"/>
        <v>0</v>
      </c>
      <c r="N191" s="17">
        <f t="shared" si="854"/>
        <v>0.25</v>
      </c>
      <c r="Q191" s="118">
        <v>20000</v>
      </c>
      <c r="R191" s="15">
        <v>7872</v>
      </c>
      <c r="S191" s="118">
        <v>15000</v>
      </c>
      <c r="T191" s="15">
        <f t="shared" si="862"/>
        <v>-5000</v>
      </c>
      <c r="U191" s="16">
        <f t="shared" si="863"/>
        <v>-0.25</v>
      </c>
      <c r="Y191" s="118">
        <v>15000</v>
      </c>
      <c r="AA191" s="118">
        <v>15000</v>
      </c>
      <c r="AB191" s="185">
        <f t="shared" si="864"/>
        <v>0</v>
      </c>
      <c r="AC191" s="187">
        <f t="shared" si="865"/>
        <v>0</v>
      </c>
      <c r="AD191" s="187"/>
      <c r="AE191" s="118">
        <v>15000</v>
      </c>
      <c r="AF191" s="182"/>
      <c r="AH191" s="15">
        <v>14774.1</v>
      </c>
      <c r="AI191" s="17">
        <f t="shared" si="866"/>
        <v>0.98494000000000004</v>
      </c>
      <c r="AK191" s="118">
        <v>15000</v>
      </c>
      <c r="AS191" s="15">
        <f t="shared" si="867"/>
        <v>15000</v>
      </c>
      <c r="AV191" s="15">
        <f t="shared" si="868"/>
        <v>15000</v>
      </c>
      <c r="AX191" s="15"/>
      <c r="AY191" s="15">
        <f t="shared" si="869"/>
        <v>15000</v>
      </c>
      <c r="BB191" s="15">
        <f t="shared" si="870"/>
        <v>15000</v>
      </c>
      <c r="BD191" s="15">
        <v>10000</v>
      </c>
      <c r="BE191" s="15">
        <f t="shared" si="871"/>
        <v>25000</v>
      </c>
      <c r="BG191" s="15"/>
      <c r="BH191" s="15">
        <f t="shared" si="872"/>
        <v>25000</v>
      </c>
      <c r="BJ191" s="15">
        <v>19528.599999999999</v>
      </c>
      <c r="BK191" s="235">
        <f t="shared" si="873"/>
        <v>0.78114399999999995</v>
      </c>
      <c r="BM191" s="15">
        <v>28000</v>
      </c>
      <c r="BN191" s="235">
        <f t="shared" si="874"/>
        <v>1.4337945372428131</v>
      </c>
      <c r="BO191" s="235">
        <f t="shared" si="916"/>
        <v>1.1200000000000001</v>
      </c>
      <c r="BQ191" s="15"/>
      <c r="BR191" s="15">
        <f t="shared" si="875"/>
        <v>28000</v>
      </c>
      <c r="BT191" s="15"/>
      <c r="BU191" s="15">
        <f t="shared" si="876"/>
        <v>28000</v>
      </c>
      <c r="BW191" s="15"/>
      <c r="BX191" s="15">
        <f t="shared" si="877"/>
        <v>28000</v>
      </c>
      <c r="BZ191" s="15"/>
      <c r="CA191" s="15">
        <f t="shared" si="878"/>
        <v>28000</v>
      </c>
      <c r="CC191" s="15"/>
      <c r="CD191" s="15">
        <f t="shared" si="879"/>
        <v>28000</v>
      </c>
      <c r="CF191" s="15"/>
      <c r="CG191" s="15">
        <f t="shared" si="880"/>
        <v>28000</v>
      </c>
      <c r="CI191" s="15"/>
      <c r="CJ191" s="15">
        <f t="shared" si="881"/>
        <v>28000</v>
      </c>
      <c r="CL191" s="15">
        <v>12000</v>
      </c>
      <c r="CM191" s="15">
        <f t="shared" si="882"/>
        <v>40000</v>
      </c>
      <c r="CO191" s="15">
        <v>5000</v>
      </c>
      <c r="CP191" s="15">
        <f t="shared" si="883"/>
        <v>45000</v>
      </c>
      <c r="CS191" s="15">
        <f t="shared" si="884"/>
        <v>45000</v>
      </c>
      <c r="CU191" s="227">
        <v>-2000</v>
      </c>
      <c r="CV191" s="15">
        <f t="shared" si="885"/>
        <v>43000</v>
      </c>
      <c r="CX191" s="227"/>
      <c r="CY191" s="15">
        <f t="shared" si="886"/>
        <v>43000</v>
      </c>
      <c r="DA191" s="15">
        <v>44119.1</v>
      </c>
      <c r="DC191" s="15">
        <v>60000</v>
      </c>
      <c r="DE191" s="15"/>
      <c r="DF191" s="15">
        <f t="shared" ref="DF191:DF195" si="918">DC191+DE191</f>
        <v>60000</v>
      </c>
      <c r="DH191" s="15"/>
      <c r="DI191" s="15">
        <f t="shared" si="888"/>
        <v>60000</v>
      </c>
      <c r="DK191" s="15"/>
      <c r="DL191" s="15">
        <f t="shared" si="889"/>
        <v>60000</v>
      </c>
      <c r="DN191" s="15"/>
      <c r="DO191" s="15">
        <f t="shared" si="890"/>
        <v>60000</v>
      </c>
      <c r="DQ191" s="15"/>
      <c r="DR191" s="15">
        <f t="shared" si="891"/>
        <v>60000</v>
      </c>
      <c r="DT191" s="15"/>
      <c r="DU191" s="15">
        <f t="shared" si="892"/>
        <v>60000</v>
      </c>
      <c r="DW191" s="15"/>
      <c r="DX191" s="15">
        <f t="shared" si="893"/>
        <v>60000</v>
      </c>
      <c r="DZ191" s="15"/>
      <c r="EA191" s="15">
        <f t="shared" si="894"/>
        <v>60000</v>
      </c>
      <c r="EC191" s="15"/>
      <c r="ED191" s="15">
        <f t="shared" si="895"/>
        <v>60000</v>
      </c>
      <c r="EF191" s="227">
        <v>-10000</v>
      </c>
      <c r="EG191" s="15">
        <f t="shared" si="896"/>
        <v>50000</v>
      </c>
      <c r="EI191" s="15">
        <v>49696</v>
      </c>
      <c r="EK191" s="15">
        <v>50000</v>
      </c>
      <c r="EM191" s="15"/>
      <c r="EN191" s="15">
        <f t="shared" si="897"/>
        <v>50000</v>
      </c>
      <c r="EP191" s="227">
        <v>10000</v>
      </c>
      <c r="EQ191" s="15">
        <f t="shared" si="898"/>
        <v>60000</v>
      </c>
      <c r="ES191" s="15"/>
      <c r="ET191" s="15">
        <f t="shared" si="899"/>
        <v>60000</v>
      </c>
      <c r="EW191" s="15">
        <f t="shared" si="900"/>
        <v>60000</v>
      </c>
      <c r="EZ191" s="15">
        <f t="shared" si="901"/>
        <v>60000</v>
      </c>
      <c r="FC191" s="15">
        <f t="shared" si="902"/>
        <v>60000</v>
      </c>
      <c r="FF191" s="15">
        <f t="shared" si="903"/>
        <v>60000</v>
      </c>
      <c r="FI191" s="15">
        <f t="shared" si="917"/>
        <v>60000</v>
      </c>
      <c r="FL191" s="15">
        <f t="shared" si="904"/>
        <v>60000</v>
      </c>
      <c r="FO191" s="15">
        <f t="shared" si="905"/>
        <v>60000</v>
      </c>
      <c r="FR191" s="15">
        <v>60000</v>
      </c>
      <c r="FT191" s="15">
        <v>50357.5</v>
      </c>
      <c r="FV191" s="15">
        <v>55000</v>
      </c>
      <c r="FW191" s="235">
        <f t="shared" si="860"/>
        <v>1.0921908355259893</v>
      </c>
      <c r="FZ191" s="15">
        <f t="shared" si="906"/>
        <v>55000</v>
      </c>
      <c r="GB191" s="15"/>
      <c r="GC191" s="15">
        <f t="shared" si="907"/>
        <v>55000</v>
      </c>
      <c r="GE191" s="15"/>
      <c r="GF191" s="15">
        <f t="shared" si="908"/>
        <v>55000</v>
      </c>
      <c r="GH191" s="15"/>
      <c r="GI191" s="15">
        <f t="shared" si="909"/>
        <v>55000</v>
      </c>
      <c r="GK191" s="15"/>
      <c r="GL191" s="15">
        <f t="shared" si="910"/>
        <v>55000</v>
      </c>
      <c r="GN191" s="15"/>
      <c r="GO191" s="15">
        <f t="shared" si="911"/>
        <v>55000</v>
      </c>
      <c r="GQ191" s="15"/>
      <c r="GR191" s="15">
        <f t="shared" si="912"/>
        <v>55000</v>
      </c>
      <c r="GT191" s="15"/>
      <c r="GU191" s="15">
        <f t="shared" si="913"/>
        <v>55000</v>
      </c>
      <c r="GW191" s="15"/>
      <c r="GX191" s="15">
        <f t="shared" si="914"/>
        <v>55000</v>
      </c>
      <c r="GZ191" s="15"/>
      <c r="HA191" s="189">
        <f t="shared" si="915"/>
        <v>55000</v>
      </c>
      <c r="HC191" s="189">
        <v>51498</v>
      </c>
      <c r="HE191" s="15">
        <v>55000</v>
      </c>
      <c r="HF191" s="235">
        <f t="shared" si="861"/>
        <v>1.0680026408792573</v>
      </c>
    </row>
    <row r="192" spans="1:214" outlineLevel="1">
      <c r="A192" s="1" t="s">
        <v>71</v>
      </c>
      <c r="B192" s="1" t="s">
        <v>195</v>
      </c>
      <c r="C192" s="4" t="s">
        <v>196</v>
      </c>
      <c r="D192" s="43">
        <v>2200</v>
      </c>
      <c r="E192" s="34">
        <v>0</v>
      </c>
      <c r="F192" s="43">
        <v>2200</v>
      </c>
      <c r="G192" s="34">
        <v>0</v>
      </c>
      <c r="H192" s="46">
        <v>0</v>
      </c>
      <c r="I192" s="36">
        <v>0</v>
      </c>
      <c r="J192" s="14"/>
      <c r="L192" s="118">
        <v>1000</v>
      </c>
      <c r="M192" s="17">
        <f t="shared" si="853"/>
        <v>-0.54545454545454541</v>
      </c>
      <c r="N192" s="17" t="e">
        <f t="shared" si="854"/>
        <v>#DIV/0!</v>
      </c>
      <c r="Q192" s="118">
        <v>1000</v>
      </c>
      <c r="R192" s="15">
        <v>0</v>
      </c>
      <c r="S192" s="118">
        <v>0</v>
      </c>
      <c r="T192" s="15">
        <f t="shared" si="862"/>
        <v>-1000</v>
      </c>
      <c r="U192" s="16">
        <f t="shared" si="863"/>
        <v>-1</v>
      </c>
      <c r="Y192" s="118">
        <v>0</v>
      </c>
      <c r="AA192" s="118">
        <v>0</v>
      </c>
      <c r="AB192" s="185">
        <f t="shared" si="864"/>
        <v>0</v>
      </c>
      <c r="AC192" s="187">
        <f t="shared" si="865"/>
        <v>0</v>
      </c>
      <c r="AD192" s="187"/>
      <c r="AE192" s="118">
        <v>2600</v>
      </c>
      <c r="AF192" s="182">
        <f>AE192-AA192</f>
        <v>2600</v>
      </c>
      <c r="AH192" s="15">
        <v>2590</v>
      </c>
      <c r="AI192" s="17">
        <f t="shared" si="866"/>
        <v>0.99615384615384617</v>
      </c>
      <c r="AK192" s="118">
        <v>2600</v>
      </c>
      <c r="AS192" s="15">
        <f t="shared" si="867"/>
        <v>2600</v>
      </c>
      <c r="AV192" s="15">
        <f t="shared" si="868"/>
        <v>2600</v>
      </c>
      <c r="AX192" s="15"/>
      <c r="AY192" s="15">
        <f t="shared" si="869"/>
        <v>2600</v>
      </c>
      <c r="BB192" s="15">
        <f t="shared" si="870"/>
        <v>2600</v>
      </c>
      <c r="BD192" s="15">
        <v>-2600</v>
      </c>
      <c r="BE192" s="15">
        <f t="shared" si="871"/>
        <v>0</v>
      </c>
      <c r="BG192" s="15"/>
      <c r="BH192" s="15">
        <f t="shared" si="872"/>
        <v>0</v>
      </c>
      <c r="BJ192" s="15">
        <v>2590</v>
      </c>
      <c r="BK192" s="235" t="e">
        <f t="shared" si="873"/>
        <v>#DIV/0!</v>
      </c>
      <c r="BM192" s="15">
        <v>2600</v>
      </c>
      <c r="BN192" s="235">
        <f t="shared" si="874"/>
        <v>1.0038610038610039</v>
      </c>
      <c r="BO192" s="235" t="e">
        <f t="shared" si="916"/>
        <v>#DIV/0!</v>
      </c>
      <c r="BQ192" s="15"/>
      <c r="BR192" s="15">
        <f t="shared" si="875"/>
        <v>2600</v>
      </c>
      <c r="BT192" s="15"/>
      <c r="BU192" s="15">
        <f t="shared" si="876"/>
        <v>2600</v>
      </c>
      <c r="BW192" s="15"/>
      <c r="BX192" s="15">
        <f t="shared" si="877"/>
        <v>2600</v>
      </c>
      <c r="BZ192" s="15"/>
      <c r="CA192" s="15">
        <f t="shared" si="878"/>
        <v>2600</v>
      </c>
      <c r="CC192" s="15"/>
      <c r="CD192" s="15">
        <f t="shared" si="879"/>
        <v>2600</v>
      </c>
      <c r="CF192" s="15"/>
      <c r="CG192" s="15">
        <f t="shared" si="880"/>
        <v>2600</v>
      </c>
      <c r="CI192" s="15"/>
      <c r="CJ192" s="15">
        <f t="shared" si="881"/>
        <v>2600</v>
      </c>
      <c r="CM192" s="15">
        <f t="shared" si="882"/>
        <v>2600</v>
      </c>
      <c r="CP192" s="15">
        <f t="shared" si="883"/>
        <v>2600</v>
      </c>
      <c r="CS192" s="15">
        <f t="shared" si="884"/>
        <v>2600</v>
      </c>
      <c r="CU192" s="227">
        <v>100</v>
      </c>
      <c r="CV192" s="15">
        <f t="shared" si="885"/>
        <v>2700</v>
      </c>
      <c r="CX192" s="227"/>
      <c r="CY192" s="15">
        <f t="shared" si="886"/>
        <v>2700</v>
      </c>
      <c r="DA192" s="15">
        <v>2690</v>
      </c>
      <c r="DC192" s="15">
        <v>2700</v>
      </c>
      <c r="DE192" s="15"/>
      <c r="DF192" s="15">
        <f t="shared" si="918"/>
        <v>2700</v>
      </c>
      <c r="DH192" s="15"/>
      <c r="DI192" s="15">
        <f t="shared" si="888"/>
        <v>2700</v>
      </c>
      <c r="DK192" s="15"/>
      <c r="DL192" s="15">
        <f t="shared" si="889"/>
        <v>2700</v>
      </c>
      <c r="DN192" s="15"/>
      <c r="DO192" s="15">
        <f t="shared" si="890"/>
        <v>2700</v>
      </c>
      <c r="DQ192" s="15"/>
      <c r="DR192" s="15">
        <f t="shared" si="891"/>
        <v>2700</v>
      </c>
      <c r="DT192" s="15"/>
      <c r="DU192" s="15">
        <f t="shared" si="892"/>
        <v>2700</v>
      </c>
      <c r="DW192" s="15"/>
      <c r="DX192" s="15">
        <f t="shared" si="893"/>
        <v>2700</v>
      </c>
      <c r="DZ192" s="15"/>
      <c r="EA192" s="15">
        <f t="shared" si="894"/>
        <v>2700</v>
      </c>
      <c r="EC192" s="227">
        <v>-1500</v>
      </c>
      <c r="ED192" s="15">
        <f t="shared" si="895"/>
        <v>1200</v>
      </c>
      <c r="EF192" s="15"/>
      <c r="EG192" s="15">
        <f t="shared" si="896"/>
        <v>1200</v>
      </c>
      <c r="EI192" s="15">
        <v>900</v>
      </c>
      <c r="EK192" s="15">
        <v>1500</v>
      </c>
      <c r="EM192" s="15"/>
      <c r="EN192" s="15">
        <f t="shared" si="897"/>
        <v>1500</v>
      </c>
      <c r="EP192" s="15"/>
      <c r="EQ192" s="15">
        <f t="shared" si="898"/>
        <v>1500</v>
      </c>
      <c r="ES192" s="15"/>
      <c r="ET192" s="15">
        <f t="shared" si="899"/>
        <v>1500</v>
      </c>
      <c r="EV192" s="227">
        <v>-264</v>
      </c>
      <c r="EW192" s="15">
        <f t="shared" si="900"/>
        <v>1236</v>
      </c>
      <c r="EZ192" s="15">
        <f t="shared" si="901"/>
        <v>1236</v>
      </c>
      <c r="FC192" s="15">
        <f t="shared" si="902"/>
        <v>1236</v>
      </c>
      <c r="FF192" s="15">
        <f t="shared" si="903"/>
        <v>1236</v>
      </c>
      <c r="FI192" s="15">
        <f t="shared" si="917"/>
        <v>1236</v>
      </c>
      <c r="FL192" s="15">
        <f t="shared" si="904"/>
        <v>1236</v>
      </c>
      <c r="FO192" s="15">
        <f t="shared" si="905"/>
        <v>1236</v>
      </c>
      <c r="FR192" s="15">
        <v>1236</v>
      </c>
      <c r="FT192" s="15">
        <v>1236</v>
      </c>
      <c r="FV192" s="15">
        <v>1500</v>
      </c>
      <c r="FW192" s="235">
        <f t="shared" si="860"/>
        <v>1.2135922330097086</v>
      </c>
      <c r="FZ192" s="15">
        <f t="shared" si="906"/>
        <v>1500</v>
      </c>
      <c r="GB192" s="15"/>
      <c r="GC192" s="15">
        <f t="shared" si="907"/>
        <v>1500</v>
      </c>
      <c r="GE192" s="15"/>
      <c r="GF192" s="15">
        <f t="shared" si="908"/>
        <v>1500</v>
      </c>
      <c r="GH192" s="15"/>
      <c r="GI192" s="15">
        <f t="shared" si="909"/>
        <v>1500</v>
      </c>
      <c r="GK192" s="15"/>
      <c r="GL192" s="15">
        <f t="shared" si="910"/>
        <v>1500</v>
      </c>
      <c r="GN192" s="15"/>
      <c r="GO192" s="15">
        <f t="shared" si="911"/>
        <v>1500</v>
      </c>
      <c r="GQ192" s="15"/>
      <c r="GR192" s="15">
        <f t="shared" si="912"/>
        <v>1500</v>
      </c>
      <c r="GT192" s="15"/>
      <c r="GU192" s="15">
        <f t="shared" si="913"/>
        <v>1500</v>
      </c>
      <c r="GW192" s="15"/>
      <c r="GX192" s="15">
        <f t="shared" si="914"/>
        <v>1500</v>
      </c>
      <c r="GZ192" s="15"/>
      <c r="HA192" s="189">
        <f t="shared" si="915"/>
        <v>1500</v>
      </c>
      <c r="HC192" s="189">
        <v>0</v>
      </c>
      <c r="HE192" s="15">
        <v>1500</v>
      </c>
      <c r="HF192" s="235" t="e">
        <f t="shared" si="861"/>
        <v>#DIV/0!</v>
      </c>
    </row>
    <row r="193" spans="1:214" outlineLevel="1">
      <c r="A193" s="1" t="s">
        <v>71</v>
      </c>
      <c r="B193" s="1" t="s">
        <v>115</v>
      </c>
      <c r="C193" s="4" t="s">
        <v>116</v>
      </c>
      <c r="D193" s="43">
        <v>63500</v>
      </c>
      <c r="E193" s="34">
        <v>62.41</v>
      </c>
      <c r="F193" s="43">
        <v>63500</v>
      </c>
      <c r="G193" s="34">
        <v>62.41</v>
      </c>
      <c r="H193" s="46">
        <v>39632.11</v>
      </c>
      <c r="I193" s="36">
        <v>40000</v>
      </c>
      <c r="J193" s="14"/>
      <c r="L193" s="118">
        <v>170000</v>
      </c>
      <c r="M193" s="17">
        <f t="shared" si="853"/>
        <v>1.6771653543307088</v>
      </c>
      <c r="N193" s="17">
        <f t="shared" si="854"/>
        <v>3.25</v>
      </c>
      <c r="Q193" s="118">
        <v>120000</v>
      </c>
      <c r="R193" s="15">
        <v>35041</v>
      </c>
      <c r="S193" s="118">
        <v>45000</v>
      </c>
      <c r="T193" s="15">
        <f t="shared" si="862"/>
        <v>-75000</v>
      </c>
      <c r="U193" s="16">
        <f t="shared" si="863"/>
        <v>-0.625</v>
      </c>
      <c r="V193" s="140">
        <v>120000</v>
      </c>
      <c r="W193">
        <v>-50000</v>
      </c>
      <c r="Y193" s="118">
        <v>45000</v>
      </c>
      <c r="AA193" s="118">
        <v>75000</v>
      </c>
      <c r="AB193" s="185">
        <f t="shared" si="864"/>
        <v>30000</v>
      </c>
      <c r="AC193" s="187">
        <f t="shared" ref="AC193:AC198" si="919">AA193-Y193</f>
        <v>30000</v>
      </c>
      <c r="AD193" s="187"/>
      <c r="AE193" s="118">
        <v>75000</v>
      </c>
      <c r="AF193" s="182"/>
      <c r="AH193" s="15">
        <v>65856.5</v>
      </c>
      <c r="AI193" s="17">
        <f t="shared" si="866"/>
        <v>0.87808666666666668</v>
      </c>
      <c r="AK193" s="118">
        <f>140500-18000-13000-300-20000-11000</f>
        <v>78200</v>
      </c>
      <c r="AP193" s="220">
        <f>-1500-18000-13000-300-20000-11000</f>
        <v>-63800</v>
      </c>
      <c r="AS193" s="15">
        <f t="shared" si="867"/>
        <v>78200</v>
      </c>
      <c r="AV193" s="15">
        <f t="shared" si="868"/>
        <v>78200</v>
      </c>
      <c r="AX193" s="15"/>
      <c r="AY193" s="15">
        <f t="shared" si="869"/>
        <v>78200</v>
      </c>
      <c r="BA193" s="227">
        <v>1000</v>
      </c>
      <c r="BB193" s="15">
        <f t="shared" si="870"/>
        <v>79200</v>
      </c>
      <c r="BD193" s="15">
        <v>50000</v>
      </c>
      <c r="BE193" s="15">
        <f t="shared" si="871"/>
        <v>129200</v>
      </c>
      <c r="BG193" s="15"/>
      <c r="BH193" s="15">
        <f t="shared" si="872"/>
        <v>129200</v>
      </c>
      <c r="BJ193" s="15">
        <v>127726</v>
      </c>
      <c r="BK193" s="235">
        <f t="shared" si="873"/>
        <v>0.98859133126934984</v>
      </c>
      <c r="BM193" s="15">
        <v>70000</v>
      </c>
      <c r="BN193" s="235">
        <f t="shared" si="874"/>
        <v>0.5480481656044971</v>
      </c>
      <c r="BO193" s="235">
        <f t="shared" si="916"/>
        <v>0.54179566563467496</v>
      </c>
      <c r="BQ193" s="15"/>
      <c r="BR193" s="15">
        <f t="shared" si="875"/>
        <v>70000</v>
      </c>
      <c r="BT193" s="15"/>
      <c r="BU193" s="15">
        <f t="shared" si="876"/>
        <v>70000</v>
      </c>
      <c r="BW193" s="15"/>
      <c r="BX193" s="15">
        <f t="shared" si="877"/>
        <v>70000</v>
      </c>
      <c r="BZ193" s="15"/>
      <c r="CA193" s="15">
        <f t="shared" si="878"/>
        <v>70000</v>
      </c>
      <c r="CC193" s="227">
        <v>241888.89</v>
      </c>
      <c r="CD193" s="15">
        <f t="shared" si="879"/>
        <v>311888.89</v>
      </c>
      <c r="CF193" s="15"/>
      <c r="CG193" s="15">
        <f t="shared" si="880"/>
        <v>311888.89</v>
      </c>
      <c r="CI193" s="15"/>
      <c r="CJ193" s="15">
        <f t="shared" si="881"/>
        <v>311888.89</v>
      </c>
      <c r="CM193" s="15">
        <f t="shared" si="882"/>
        <v>311888.89</v>
      </c>
      <c r="CP193" s="15">
        <f t="shared" si="883"/>
        <v>311888.89</v>
      </c>
      <c r="CS193" s="15">
        <f t="shared" si="884"/>
        <v>311888.89</v>
      </c>
      <c r="CU193" s="227">
        <v>-228750</v>
      </c>
      <c r="CV193" s="15">
        <f t="shared" si="885"/>
        <v>83138.890000000014</v>
      </c>
      <c r="CX193" s="227"/>
      <c r="CY193" s="15">
        <f t="shared" si="886"/>
        <v>83138.890000000014</v>
      </c>
      <c r="DA193" s="15">
        <v>82648.479999999996</v>
      </c>
      <c r="DC193" s="15">
        <v>80000</v>
      </c>
      <c r="DE193" s="15"/>
      <c r="DF193" s="15">
        <f t="shared" si="918"/>
        <v>80000</v>
      </c>
      <c r="DH193" s="15"/>
      <c r="DI193" s="15">
        <f t="shared" si="888"/>
        <v>80000</v>
      </c>
      <c r="DK193" s="15"/>
      <c r="DL193" s="15">
        <f t="shared" si="889"/>
        <v>80000</v>
      </c>
      <c r="DN193" s="15"/>
      <c r="DO193" s="15">
        <f t="shared" si="890"/>
        <v>80000</v>
      </c>
      <c r="DQ193" s="15"/>
      <c r="DR193" s="15">
        <f t="shared" si="891"/>
        <v>80000</v>
      </c>
      <c r="DT193" s="15"/>
      <c r="DU193" s="15">
        <f t="shared" si="892"/>
        <v>80000</v>
      </c>
      <c r="DW193" s="15"/>
      <c r="DX193" s="15">
        <f t="shared" si="893"/>
        <v>80000</v>
      </c>
      <c r="DZ193" s="15"/>
      <c r="EA193" s="15">
        <f t="shared" si="894"/>
        <v>80000</v>
      </c>
      <c r="EC193" s="227">
        <v>100000</v>
      </c>
      <c r="ED193" s="15">
        <f t="shared" si="895"/>
        <v>180000</v>
      </c>
      <c r="EF193" s="227">
        <v>-37000</v>
      </c>
      <c r="EG193" s="15">
        <f t="shared" si="896"/>
        <v>143000</v>
      </c>
      <c r="EI193" s="15">
        <v>140623.1</v>
      </c>
      <c r="EK193" s="15">
        <v>70000</v>
      </c>
      <c r="EM193" s="15"/>
      <c r="EN193" s="15">
        <f t="shared" si="897"/>
        <v>70000</v>
      </c>
      <c r="EP193" s="15"/>
      <c r="EQ193" s="15">
        <f t="shared" si="898"/>
        <v>70000</v>
      </c>
      <c r="ES193" s="15"/>
      <c r="ET193" s="15">
        <f t="shared" si="899"/>
        <v>70000</v>
      </c>
      <c r="EW193" s="15">
        <f t="shared" si="900"/>
        <v>70000</v>
      </c>
      <c r="EZ193" s="15">
        <f t="shared" si="901"/>
        <v>70000</v>
      </c>
      <c r="FC193" s="15">
        <f t="shared" si="902"/>
        <v>70000</v>
      </c>
      <c r="FF193" s="15">
        <f t="shared" si="903"/>
        <v>70000</v>
      </c>
      <c r="FI193" s="15">
        <f t="shared" si="917"/>
        <v>70000</v>
      </c>
      <c r="FL193" s="15">
        <f t="shared" si="904"/>
        <v>70000</v>
      </c>
      <c r="FO193" s="15">
        <f t="shared" si="905"/>
        <v>70000</v>
      </c>
      <c r="FR193" s="15">
        <v>70000</v>
      </c>
      <c r="FT193" s="15">
        <v>46449.599999999999</v>
      </c>
      <c r="FV193" s="15">
        <v>50000</v>
      </c>
      <c r="FW193" s="235">
        <f t="shared" si="860"/>
        <v>1.0764355344287142</v>
      </c>
      <c r="FZ193" s="15">
        <f t="shared" si="906"/>
        <v>50000</v>
      </c>
      <c r="GB193" s="15"/>
      <c r="GC193" s="15">
        <f t="shared" si="907"/>
        <v>50000</v>
      </c>
      <c r="GE193" s="15"/>
      <c r="GF193" s="15">
        <f t="shared" si="908"/>
        <v>50000</v>
      </c>
      <c r="GH193" s="15"/>
      <c r="GI193" s="15">
        <f t="shared" si="909"/>
        <v>50000</v>
      </c>
      <c r="GK193" s="15"/>
      <c r="GL193" s="15">
        <f t="shared" si="910"/>
        <v>50000</v>
      </c>
      <c r="GN193" s="15"/>
      <c r="GO193" s="15">
        <f t="shared" si="911"/>
        <v>50000</v>
      </c>
      <c r="GQ193" s="227">
        <v>20000</v>
      </c>
      <c r="GR193" s="15">
        <f t="shared" si="912"/>
        <v>70000</v>
      </c>
      <c r="GT193" s="15"/>
      <c r="GU193" s="15">
        <f t="shared" si="913"/>
        <v>70000</v>
      </c>
      <c r="GW193" s="15"/>
      <c r="GX193" s="15">
        <f t="shared" si="914"/>
        <v>70000</v>
      </c>
      <c r="GZ193" s="15"/>
      <c r="HA193" s="189">
        <f t="shared" si="915"/>
        <v>70000</v>
      </c>
      <c r="HC193" s="189">
        <v>50135.48</v>
      </c>
      <c r="HE193" s="15">
        <v>60000</v>
      </c>
      <c r="HF193" s="235">
        <f t="shared" si="861"/>
        <v>1.1967572665106627</v>
      </c>
    </row>
    <row r="194" spans="1:214" outlineLevel="1">
      <c r="A194" s="1" t="s">
        <v>71</v>
      </c>
      <c r="B194" s="1" t="s">
        <v>117</v>
      </c>
      <c r="C194" s="4" t="s">
        <v>118</v>
      </c>
      <c r="D194" s="43">
        <v>40000</v>
      </c>
      <c r="E194" s="34">
        <v>85.59</v>
      </c>
      <c r="F194" s="43">
        <v>40000</v>
      </c>
      <c r="G194" s="34">
        <v>85.59</v>
      </c>
      <c r="H194" s="46">
        <v>34235</v>
      </c>
      <c r="I194" s="36">
        <v>35000</v>
      </c>
      <c r="J194" s="14"/>
      <c r="L194" s="118">
        <v>38000</v>
      </c>
      <c r="M194" s="17">
        <f t="shared" si="853"/>
        <v>-5.0000000000000044E-2</v>
      </c>
      <c r="N194" s="17">
        <f t="shared" si="854"/>
        <v>8.5714285714285632E-2</v>
      </c>
      <c r="Q194" s="118">
        <v>43400</v>
      </c>
      <c r="R194" s="15">
        <v>43363</v>
      </c>
      <c r="S194" s="118">
        <v>55000</v>
      </c>
      <c r="T194" s="15">
        <f t="shared" si="862"/>
        <v>11600</v>
      </c>
      <c r="U194" s="16">
        <f t="shared" si="863"/>
        <v>0.26728110599078336</v>
      </c>
      <c r="Y194" s="118">
        <v>55000</v>
      </c>
      <c r="AA194" s="118">
        <v>70000</v>
      </c>
      <c r="AB194" s="185">
        <f t="shared" si="864"/>
        <v>15000</v>
      </c>
      <c r="AC194" s="187">
        <f t="shared" si="919"/>
        <v>15000</v>
      </c>
      <c r="AD194" s="187"/>
      <c r="AE194" s="118">
        <v>70000</v>
      </c>
      <c r="AF194" s="182"/>
      <c r="AH194" s="15">
        <v>62672.5</v>
      </c>
      <c r="AI194" s="17">
        <f t="shared" si="866"/>
        <v>0.8953214285714286</v>
      </c>
      <c r="AK194" s="118">
        <v>75000</v>
      </c>
      <c r="AS194" s="15">
        <f t="shared" si="867"/>
        <v>75000</v>
      </c>
      <c r="AV194" s="15">
        <f t="shared" si="868"/>
        <v>75000</v>
      </c>
      <c r="AX194" s="15"/>
      <c r="AY194" s="15">
        <f t="shared" si="869"/>
        <v>75000</v>
      </c>
      <c r="BB194" s="15">
        <f t="shared" si="870"/>
        <v>75000</v>
      </c>
      <c r="BD194" s="15">
        <v>15000</v>
      </c>
      <c r="BE194" s="15">
        <f t="shared" si="871"/>
        <v>90000</v>
      </c>
      <c r="BG194" s="15"/>
      <c r="BH194" s="15">
        <f t="shared" si="872"/>
        <v>90000</v>
      </c>
      <c r="BJ194" s="15">
        <v>89299.44</v>
      </c>
      <c r="BK194" s="235">
        <f t="shared" si="873"/>
        <v>0.99221599999999999</v>
      </c>
      <c r="BM194" s="15">
        <v>70000</v>
      </c>
      <c r="BN194" s="235">
        <f t="shared" si="874"/>
        <v>0.78387949577287386</v>
      </c>
      <c r="BO194" s="235">
        <f t="shared" si="916"/>
        <v>0.77777777777777779</v>
      </c>
      <c r="BQ194" s="15"/>
      <c r="BR194" s="15">
        <f t="shared" si="875"/>
        <v>70000</v>
      </c>
      <c r="BT194" s="15"/>
      <c r="BU194" s="15">
        <f t="shared" si="876"/>
        <v>70000</v>
      </c>
      <c r="BW194" s="15"/>
      <c r="BX194" s="15">
        <f t="shared" si="877"/>
        <v>70000</v>
      </c>
      <c r="BZ194" s="15"/>
      <c r="CA194" s="15">
        <f t="shared" si="878"/>
        <v>70000</v>
      </c>
      <c r="CC194" s="15"/>
      <c r="CD194" s="15">
        <f t="shared" si="879"/>
        <v>70000</v>
      </c>
      <c r="CF194" s="15"/>
      <c r="CG194" s="15">
        <f t="shared" si="880"/>
        <v>70000</v>
      </c>
      <c r="CI194" s="227">
        <v>-22000</v>
      </c>
      <c r="CJ194" s="15">
        <f t="shared" si="881"/>
        <v>48000</v>
      </c>
      <c r="CM194" s="15">
        <f t="shared" si="882"/>
        <v>48000</v>
      </c>
      <c r="CP194" s="15">
        <f t="shared" si="883"/>
        <v>48000</v>
      </c>
      <c r="CS194" s="15">
        <f t="shared" si="884"/>
        <v>48000</v>
      </c>
      <c r="CU194" s="227">
        <v>5000</v>
      </c>
      <c r="CV194" s="15">
        <f t="shared" si="885"/>
        <v>53000</v>
      </c>
      <c r="CX194" s="227"/>
      <c r="CY194" s="15">
        <f t="shared" si="886"/>
        <v>53000</v>
      </c>
      <c r="DA194" s="15">
        <v>52726</v>
      </c>
      <c r="DC194" s="15">
        <v>75048</v>
      </c>
      <c r="DE194" s="15"/>
      <c r="DF194" s="15">
        <f t="shared" si="918"/>
        <v>75048</v>
      </c>
      <c r="DH194" s="15"/>
      <c r="DI194" s="15">
        <f t="shared" si="888"/>
        <v>75048</v>
      </c>
      <c r="DK194" s="15"/>
      <c r="DL194" s="15">
        <f t="shared" si="889"/>
        <v>75048</v>
      </c>
      <c r="DN194" s="15"/>
      <c r="DO194" s="15">
        <f t="shared" si="890"/>
        <v>75048</v>
      </c>
      <c r="DQ194" s="15"/>
      <c r="DR194" s="15">
        <f t="shared" si="891"/>
        <v>75048</v>
      </c>
      <c r="DT194" s="15"/>
      <c r="DU194" s="15">
        <f t="shared" si="892"/>
        <v>75048</v>
      </c>
      <c r="DW194" s="15"/>
      <c r="DX194" s="15">
        <f t="shared" si="893"/>
        <v>75048</v>
      </c>
      <c r="DZ194" s="15"/>
      <c r="EA194" s="15">
        <f t="shared" si="894"/>
        <v>75048</v>
      </c>
      <c r="EC194" s="15"/>
      <c r="ED194" s="15">
        <f t="shared" si="895"/>
        <v>75048</v>
      </c>
      <c r="EF194" s="227">
        <v>-15000</v>
      </c>
      <c r="EG194" s="15">
        <f t="shared" si="896"/>
        <v>60048</v>
      </c>
      <c r="EI194" s="15">
        <v>58728.52</v>
      </c>
      <c r="EK194" s="15">
        <v>160000</v>
      </c>
      <c r="EM194" s="15"/>
      <c r="EN194" s="15">
        <f t="shared" si="897"/>
        <v>160000</v>
      </c>
      <c r="EP194" s="15"/>
      <c r="EQ194" s="15">
        <f t="shared" si="898"/>
        <v>160000</v>
      </c>
      <c r="ES194" s="15"/>
      <c r="ET194" s="15">
        <f t="shared" si="899"/>
        <v>160000</v>
      </c>
      <c r="EW194" s="15">
        <f t="shared" si="900"/>
        <v>160000</v>
      </c>
      <c r="EZ194" s="15">
        <f t="shared" si="901"/>
        <v>160000</v>
      </c>
      <c r="FB194" s="227">
        <v>-60000</v>
      </c>
      <c r="FC194" s="15">
        <f t="shared" si="902"/>
        <v>100000</v>
      </c>
      <c r="FF194" s="15">
        <f t="shared" si="903"/>
        <v>100000</v>
      </c>
      <c r="FI194" s="15">
        <f t="shared" si="917"/>
        <v>100000</v>
      </c>
      <c r="FK194" s="227">
        <v>-30000</v>
      </c>
      <c r="FL194" s="15">
        <f t="shared" si="904"/>
        <v>70000</v>
      </c>
      <c r="FN194" s="227">
        <v>-12800</v>
      </c>
      <c r="FO194" s="15">
        <f t="shared" si="905"/>
        <v>57200</v>
      </c>
      <c r="FR194" s="15">
        <v>57200</v>
      </c>
      <c r="FT194" s="15">
        <v>42750.59</v>
      </c>
      <c r="FV194" s="15">
        <v>50000</v>
      </c>
      <c r="FW194" s="235">
        <f t="shared" si="860"/>
        <v>1.169574501778806</v>
      </c>
      <c r="FZ194" s="15">
        <f t="shared" si="906"/>
        <v>50000</v>
      </c>
      <c r="GB194" s="15"/>
      <c r="GC194" s="15">
        <f t="shared" si="907"/>
        <v>50000</v>
      </c>
      <c r="GE194" s="15"/>
      <c r="GF194" s="15">
        <f t="shared" si="908"/>
        <v>50000</v>
      </c>
      <c r="GH194" s="15"/>
      <c r="GI194" s="15">
        <f t="shared" si="909"/>
        <v>50000</v>
      </c>
      <c r="GK194" s="15"/>
      <c r="GL194" s="15">
        <f t="shared" si="910"/>
        <v>50000</v>
      </c>
      <c r="GN194" s="15"/>
      <c r="GO194" s="15">
        <f t="shared" si="911"/>
        <v>50000</v>
      </c>
      <c r="GQ194" s="15"/>
      <c r="GR194" s="15">
        <f t="shared" si="912"/>
        <v>50000</v>
      </c>
      <c r="GT194" s="15"/>
      <c r="GU194" s="15">
        <f t="shared" si="913"/>
        <v>50000</v>
      </c>
      <c r="GW194" s="15"/>
      <c r="GX194" s="15">
        <f t="shared" si="914"/>
        <v>50000</v>
      </c>
      <c r="GZ194" s="15"/>
      <c r="HA194" s="189">
        <f t="shared" si="915"/>
        <v>50000</v>
      </c>
      <c r="HC194" s="189">
        <v>20481</v>
      </c>
      <c r="HE194" s="15">
        <v>40000</v>
      </c>
      <c r="HF194" s="235">
        <f t="shared" si="861"/>
        <v>1.9530296372247449</v>
      </c>
    </row>
    <row r="195" spans="1:214" outlineLevel="1">
      <c r="A195" s="1" t="s">
        <v>71</v>
      </c>
      <c r="B195" s="1" t="s">
        <v>206</v>
      </c>
      <c r="C195" s="4" t="s">
        <v>207</v>
      </c>
      <c r="D195" s="43"/>
      <c r="E195" s="34"/>
      <c r="F195" s="43"/>
      <c r="G195" s="34"/>
      <c r="H195" s="46"/>
      <c r="I195" s="36"/>
      <c r="J195" s="14"/>
      <c r="M195" s="17"/>
      <c r="N195" s="17"/>
      <c r="U195" s="16"/>
      <c r="Y195" s="118"/>
      <c r="AB195" s="185"/>
      <c r="AC195" s="187"/>
      <c r="AD195" s="187"/>
      <c r="AE195" s="118">
        <v>500</v>
      </c>
      <c r="AF195" s="182">
        <f>AE195-AA195</f>
        <v>500</v>
      </c>
      <c r="AH195" s="15">
        <v>473</v>
      </c>
      <c r="AI195" s="17">
        <f t="shared" si="866"/>
        <v>0.94599999999999995</v>
      </c>
      <c r="AK195" s="118">
        <v>500</v>
      </c>
      <c r="AL195" s="15" t="s">
        <v>460</v>
      </c>
      <c r="AS195" s="15">
        <f t="shared" si="867"/>
        <v>500</v>
      </c>
      <c r="AV195" s="15">
        <f t="shared" si="868"/>
        <v>500</v>
      </c>
      <c r="AX195" s="15"/>
      <c r="AY195" s="15">
        <f t="shared" si="869"/>
        <v>500</v>
      </c>
      <c r="BB195" s="15">
        <f t="shared" si="870"/>
        <v>500</v>
      </c>
      <c r="BD195" s="15">
        <v>-500</v>
      </c>
      <c r="BE195" s="15">
        <f t="shared" si="871"/>
        <v>0</v>
      </c>
      <c r="BG195" s="15"/>
      <c r="BH195" s="15">
        <f t="shared" si="872"/>
        <v>0</v>
      </c>
      <c r="BJ195" s="15">
        <v>0</v>
      </c>
      <c r="BK195" s="235" t="e">
        <f t="shared" si="873"/>
        <v>#DIV/0!</v>
      </c>
      <c r="BM195" s="15">
        <v>0</v>
      </c>
      <c r="BN195" s="235" t="e">
        <f t="shared" si="874"/>
        <v>#DIV/0!</v>
      </c>
      <c r="BO195" s="235" t="e">
        <f t="shared" si="916"/>
        <v>#DIV/0!</v>
      </c>
      <c r="BQ195" s="15"/>
      <c r="BR195" s="15">
        <f t="shared" si="875"/>
        <v>0</v>
      </c>
      <c r="BT195" s="15"/>
      <c r="BU195" s="15">
        <f t="shared" si="876"/>
        <v>0</v>
      </c>
      <c r="BW195" s="15"/>
      <c r="BX195" s="15">
        <f t="shared" si="877"/>
        <v>0</v>
      </c>
      <c r="BZ195" s="15"/>
      <c r="CA195" s="15">
        <f t="shared" si="878"/>
        <v>0</v>
      </c>
      <c r="CC195" s="15"/>
      <c r="CD195" s="15">
        <f t="shared" si="879"/>
        <v>0</v>
      </c>
      <c r="CF195" s="15"/>
      <c r="CG195" s="15">
        <f t="shared" si="880"/>
        <v>0</v>
      </c>
      <c r="CH195">
        <v>1594</v>
      </c>
      <c r="CI195" s="227">
        <v>3000</v>
      </c>
      <c r="CJ195" s="15">
        <f t="shared" si="881"/>
        <v>3000</v>
      </c>
      <c r="CM195" s="15">
        <f t="shared" si="882"/>
        <v>3000</v>
      </c>
      <c r="CP195" s="15">
        <f t="shared" si="883"/>
        <v>3000</v>
      </c>
      <c r="CS195" s="15">
        <f t="shared" si="884"/>
        <v>3000</v>
      </c>
      <c r="CU195" s="227">
        <v>-1400</v>
      </c>
      <c r="CV195" s="15">
        <f t="shared" si="885"/>
        <v>1600</v>
      </c>
      <c r="CX195" s="227"/>
      <c r="CY195" s="15">
        <f t="shared" si="886"/>
        <v>1600</v>
      </c>
      <c r="DA195" s="15">
        <v>1594</v>
      </c>
      <c r="DC195" s="15">
        <v>3000</v>
      </c>
      <c r="DE195" s="15"/>
      <c r="DF195" s="15">
        <f t="shared" si="918"/>
        <v>3000</v>
      </c>
      <c r="DH195" s="15"/>
      <c r="DI195" s="15">
        <f t="shared" si="888"/>
        <v>3000</v>
      </c>
      <c r="DK195" s="15"/>
      <c r="DL195" s="15">
        <f t="shared" si="889"/>
        <v>3000</v>
      </c>
      <c r="DN195" s="15"/>
      <c r="DO195" s="15">
        <f t="shared" si="890"/>
        <v>3000</v>
      </c>
      <c r="DQ195" s="227">
        <v>2000</v>
      </c>
      <c r="DR195" s="15">
        <f t="shared" si="891"/>
        <v>5000</v>
      </c>
      <c r="DT195" s="15"/>
      <c r="DU195" s="15">
        <f t="shared" si="892"/>
        <v>5000</v>
      </c>
      <c r="DW195" s="15"/>
      <c r="DX195" s="15">
        <f t="shared" si="893"/>
        <v>5000</v>
      </c>
      <c r="DZ195" s="15"/>
      <c r="EA195" s="15">
        <f t="shared" si="894"/>
        <v>5000</v>
      </c>
      <c r="EC195" s="15"/>
      <c r="ED195" s="15">
        <f t="shared" si="895"/>
        <v>5000</v>
      </c>
      <c r="EF195" s="15"/>
      <c r="EG195" s="15">
        <f t="shared" si="896"/>
        <v>5000</v>
      </c>
      <c r="EI195" s="15">
        <v>2668</v>
      </c>
      <c r="EK195" s="15">
        <v>5000</v>
      </c>
      <c r="EM195" s="15"/>
      <c r="EN195" s="15">
        <f t="shared" si="897"/>
        <v>5000</v>
      </c>
      <c r="EP195" s="15"/>
      <c r="EQ195" s="15">
        <f t="shared" si="898"/>
        <v>5000</v>
      </c>
      <c r="ES195" s="15"/>
      <c r="ET195" s="15">
        <f t="shared" si="899"/>
        <v>5000</v>
      </c>
      <c r="EW195" s="15">
        <f t="shared" si="900"/>
        <v>5000</v>
      </c>
      <c r="EZ195" s="15">
        <f t="shared" si="901"/>
        <v>5000</v>
      </c>
      <c r="FC195" s="15">
        <f t="shared" si="902"/>
        <v>5000</v>
      </c>
      <c r="FF195" s="15">
        <f t="shared" si="903"/>
        <v>5000</v>
      </c>
      <c r="FI195" s="15">
        <f t="shared" si="917"/>
        <v>5000</v>
      </c>
      <c r="FK195" s="227">
        <v>-3000</v>
      </c>
      <c r="FL195" s="15">
        <f t="shared" si="904"/>
        <v>2000</v>
      </c>
      <c r="FO195" s="15">
        <f t="shared" si="905"/>
        <v>2000</v>
      </c>
      <c r="FR195" s="15">
        <v>2000</v>
      </c>
      <c r="FT195" s="15">
        <v>0</v>
      </c>
      <c r="FW195" s="235" t="e">
        <f t="shared" si="860"/>
        <v>#DIV/0!</v>
      </c>
      <c r="FZ195" s="15">
        <f t="shared" si="906"/>
        <v>0</v>
      </c>
      <c r="GB195" s="15"/>
      <c r="GC195" s="15">
        <f t="shared" si="907"/>
        <v>0</v>
      </c>
      <c r="GE195" s="15"/>
      <c r="GF195" s="15">
        <f t="shared" si="908"/>
        <v>0</v>
      </c>
      <c r="GH195" s="15"/>
      <c r="GI195" s="15">
        <f t="shared" si="909"/>
        <v>0</v>
      </c>
      <c r="GK195" s="15"/>
      <c r="GL195" s="15">
        <f t="shared" si="910"/>
        <v>0</v>
      </c>
      <c r="GN195" s="15"/>
      <c r="GO195" s="15">
        <f t="shared" si="911"/>
        <v>0</v>
      </c>
      <c r="GQ195" s="15"/>
      <c r="GR195" s="15">
        <f t="shared" si="912"/>
        <v>0</v>
      </c>
      <c r="GT195" s="15"/>
      <c r="GU195" s="15">
        <f t="shared" si="913"/>
        <v>0</v>
      </c>
      <c r="GW195" s="15"/>
      <c r="GX195" s="15">
        <f t="shared" si="914"/>
        <v>0</v>
      </c>
      <c r="GZ195" s="15"/>
      <c r="HA195" s="189">
        <f t="shared" si="915"/>
        <v>0</v>
      </c>
      <c r="HE195" s="15">
        <v>0</v>
      </c>
      <c r="HF195" s="235" t="e">
        <f t="shared" si="861"/>
        <v>#DIV/0!</v>
      </c>
    </row>
    <row r="196" spans="1:214" outlineLevel="1">
      <c r="A196" s="1" t="s">
        <v>71</v>
      </c>
      <c r="B196" s="1" t="s">
        <v>129</v>
      </c>
      <c r="C196" s="4" t="s">
        <v>550</v>
      </c>
      <c r="D196" s="43"/>
      <c r="E196" s="34"/>
      <c r="F196" s="43"/>
      <c r="G196" s="34"/>
      <c r="H196" s="46"/>
      <c r="I196" s="36"/>
      <c r="J196" s="14"/>
      <c r="M196" s="17"/>
      <c r="N196" s="17"/>
      <c r="U196" s="16"/>
      <c r="Y196" s="118"/>
      <c r="AB196" s="185"/>
      <c r="AC196" s="187"/>
      <c r="AD196" s="187"/>
      <c r="AF196" s="182"/>
      <c r="AH196" s="15"/>
      <c r="AI196" s="17"/>
      <c r="AS196" s="15"/>
      <c r="AV196" s="15"/>
      <c r="AX196" s="15"/>
      <c r="AY196" s="15"/>
      <c r="BB196" s="15"/>
      <c r="BD196" s="15"/>
      <c r="BE196" s="15"/>
      <c r="BG196" s="15"/>
      <c r="BH196" s="15"/>
      <c r="BK196" s="235"/>
      <c r="BM196" s="15"/>
      <c r="BN196" s="235"/>
      <c r="BO196" s="235"/>
      <c r="BQ196" s="227">
        <v>35400</v>
      </c>
      <c r="BR196" s="15">
        <f t="shared" si="875"/>
        <v>35400</v>
      </c>
      <c r="BT196" s="15"/>
      <c r="BU196" s="15">
        <f t="shared" si="876"/>
        <v>35400</v>
      </c>
      <c r="BW196" s="15"/>
      <c r="BX196" s="15">
        <f t="shared" si="877"/>
        <v>35400</v>
      </c>
      <c r="BZ196" s="15"/>
      <c r="CA196" s="15">
        <f t="shared" si="878"/>
        <v>35400</v>
      </c>
      <c r="CC196" s="15"/>
      <c r="CD196" s="15">
        <f t="shared" si="879"/>
        <v>35400</v>
      </c>
      <c r="CF196" s="15"/>
      <c r="CG196" s="15">
        <f t="shared" si="880"/>
        <v>35400</v>
      </c>
      <c r="CI196" s="15"/>
      <c r="CJ196" s="15">
        <f t="shared" si="881"/>
        <v>35400</v>
      </c>
      <c r="CM196" s="15">
        <f t="shared" si="882"/>
        <v>35400</v>
      </c>
      <c r="CP196" s="15">
        <f t="shared" si="883"/>
        <v>35400</v>
      </c>
      <c r="CS196" s="15">
        <f t="shared" si="884"/>
        <v>35400</v>
      </c>
      <c r="CV196" s="15">
        <f t="shared" si="885"/>
        <v>35400</v>
      </c>
      <c r="CY196" s="15">
        <f t="shared" si="886"/>
        <v>35400</v>
      </c>
      <c r="DA196" s="15">
        <v>35392.5</v>
      </c>
      <c r="DE196" s="15"/>
      <c r="DF196" s="15"/>
      <c r="DH196" s="15"/>
      <c r="DI196" s="15"/>
      <c r="DK196" s="15"/>
      <c r="DL196" s="15"/>
      <c r="DN196" s="15"/>
      <c r="DO196" s="15"/>
      <c r="DQ196" s="15"/>
      <c r="DR196" s="15"/>
      <c r="DT196" s="15"/>
      <c r="DU196" s="15"/>
      <c r="DW196" s="15"/>
      <c r="DX196" s="15"/>
      <c r="DZ196" s="15"/>
      <c r="EA196" s="15"/>
      <c r="EC196" s="15"/>
      <c r="ED196" s="15"/>
      <c r="EF196" s="15"/>
      <c r="EG196" s="15"/>
      <c r="EI196" s="15">
        <v>0</v>
      </c>
      <c r="EK196" s="15">
        <v>0</v>
      </c>
      <c r="EM196" s="15"/>
      <c r="EN196" s="15"/>
      <c r="EP196" s="15"/>
      <c r="EQ196" s="15"/>
      <c r="ES196" s="15"/>
      <c r="ET196" s="15"/>
      <c r="EW196" s="15"/>
      <c r="EZ196" s="15"/>
      <c r="FC196" s="15"/>
      <c r="FF196" s="15"/>
      <c r="FI196" s="15"/>
      <c r="FL196" s="15"/>
      <c r="FO196" s="15"/>
      <c r="FR196" s="15"/>
      <c r="FW196" s="235" t="e">
        <f t="shared" si="860"/>
        <v>#DIV/0!</v>
      </c>
      <c r="FZ196" s="15"/>
      <c r="GB196" s="15"/>
      <c r="GC196" s="15"/>
      <c r="GE196" s="15"/>
      <c r="GF196" s="15"/>
      <c r="GH196" s="15"/>
      <c r="GI196" s="15"/>
      <c r="GK196" s="15"/>
      <c r="GL196" s="15"/>
      <c r="GN196" s="15"/>
      <c r="GO196" s="15"/>
      <c r="GQ196" s="15"/>
      <c r="GR196" s="15"/>
      <c r="GT196" s="15"/>
      <c r="GU196" s="15"/>
      <c r="GW196" s="15"/>
      <c r="GX196" s="15"/>
      <c r="GZ196" s="15"/>
      <c r="HF196" s="235" t="e">
        <f t="shared" si="861"/>
        <v>#DIV/0!</v>
      </c>
    </row>
    <row r="197" spans="1:214" outlineLevel="1">
      <c r="A197" s="1" t="s">
        <v>71</v>
      </c>
      <c r="B197" s="1" t="s">
        <v>197</v>
      </c>
      <c r="C197" s="4" t="s">
        <v>198</v>
      </c>
      <c r="D197" s="43">
        <v>3000</v>
      </c>
      <c r="E197" s="34">
        <v>0</v>
      </c>
      <c r="F197" s="43">
        <v>3000</v>
      </c>
      <c r="G197" s="34">
        <v>0</v>
      </c>
      <c r="H197" s="46">
        <v>0</v>
      </c>
      <c r="I197" s="36">
        <v>0</v>
      </c>
      <c r="J197" s="14"/>
      <c r="K197" t="s">
        <v>332</v>
      </c>
      <c r="L197" s="118">
        <v>3000</v>
      </c>
      <c r="M197" s="17">
        <f t="shared" si="853"/>
        <v>0</v>
      </c>
      <c r="N197" s="17" t="e">
        <f t="shared" si="854"/>
        <v>#DIV/0!</v>
      </c>
      <c r="Q197" s="118">
        <v>4000</v>
      </c>
      <c r="R197" s="15">
        <v>3895</v>
      </c>
      <c r="S197" s="118">
        <v>5700</v>
      </c>
      <c r="T197" s="15">
        <f t="shared" si="862"/>
        <v>1700</v>
      </c>
      <c r="U197" s="16">
        <f t="shared" si="863"/>
        <v>0.42500000000000004</v>
      </c>
      <c r="V197" s="140">
        <v>4000</v>
      </c>
      <c r="W197">
        <v>1000</v>
      </c>
      <c r="Y197" s="118">
        <v>5700</v>
      </c>
      <c r="AA197" s="118">
        <v>5700</v>
      </c>
      <c r="AB197" s="185">
        <f t="shared" si="864"/>
        <v>0</v>
      </c>
      <c r="AC197" s="187">
        <f t="shared" si="919"/>
        <v>0</v>
      </c>
      <c r="AD197" s="187"/>
      <c r="AE197" s="118">
        <v>5700</v>
      </c>
      <c r="AF197" s="182"/>
      <c r="AH197" s="15">
        <v>3895</v>
      </c>
      <c r="AI197" s="17">
        <f t="shared" si="866"/>
        <v>0.68333333333333335</v>
      </c>
      <c r="AK197" s="118">
        <v>5000</v>
      </c>
      <c r="AS197" s="15">
        <f t="shared" si="867"/>
        <v>5000</v>
      </c>
      <c r="AV197" s="15">
        <f t="shared" si="868"/>
        <v>5000</v>
      </c>
      <c r="AX197" s="15"/>
      <c r="AY197" s="15">
        <f t="shared" si="869"/>
        <v>5000</v>
      </c>
      <c r="BB197" s="15">
        <f t="shared" si="870"/>
        <v>5000</v>
      </c>
      <c r="BD197" s="15">
        <v>2000</v>
      </c>
      <c r="BE197" s="15">
        <f t="shared" si="871"/>
        <v>7000</v>
      </c>
      <c r="BG197" s="15">
        <v>-2000</v>
      </c>
      <c r="BH197" s="15">
        <f t="shared" si="872"/>
        <v>5000</v>
      </c>
      <c r="BJ197" s="15">
        <v>4476</v>
      </c>
      <c r="BK197" s="235">
        <f t="shared" si="873"/>
        <v>0.8952</v>
      </c>
      <c r="BM197" s="15">
        <v>5000</v>
      </c>
      <c r="BN197" s="235">
        <f t="shared" si="874"/>
        <v>1.1170688114387846</v>
      </c>
      <c r="BO197" s="235">
        <f t="shared" si="916"/>
        <v>1</v>
      </c>
      <c r="BQ197" s="15"/>
      <c r="BR197" s="15">
        <f t="shared" ref="BR197:BR198" si="920">BM197+BQ197</f>
        <v>5000</v>
      </c>
      <c r="BT197" s="15"/>
      <c r="BU197" s="15">
        <f t="shared" si="876"/>
        <v>5000</v>
      </c>
      <c r="BW197" s="15"/>
      <c r="BX197" s="15">
        <f t="shared" si="877"/>
        <v>5000</v>
      </c>
      <c r="BZ197" s="15"/>
      <c r="CA197" s="15">
        <f t="shared" si="878"/>
        <v>5000</v>
      </c>
      <c r="CC197" s="15"/>
      <c r="CD197" s="15">
        <f t="shared" si="879"/>
        <v>5000</v>
      </c>
      <c r="CF197" s="15">
        <v>5000</v>
      </c>
      <c r="CG197" s="15">
        <f t="shared" si="880"/>
        <v>10000</v>
      </c>
      <c r="CI197" s="15"/>
      <c r="CJ197" s="15">
        <f t="shared" si="881"/>
        <v>10000</v>
      </c>
      <c r="CM197" s="15">
        <f t="shared" si="882"/>
        <v>10000</v>
      </c>
      <c r="CP197" s="15">
        <f t="shared" si="883"/>
        <v>10000</v>
      </c>
      <c r="CS197" s="15">
        <f t="shared" si="884"/>
        <v>10000</v>
      </c>
      <c r="CV197" s="15">
        <f t="shared" si="885"/>
        <v>10000</v>
      </c>
      <c r="CY197" s="15">
        <f t="shared" si="886"/>
        <v>10000</v>
      </c>
      <c r="DA197" s="15">
        <v>9054</v>
      </c>
      <c r="DC197" s="15">
        <v>5000</v>
      </c>
      <c r="DE197" s="15"/>
      <c r="DF197" s="15">
        <f t="shared" ref="DF197:DF200" si="921">DC197+DE197</f>
        <v>5000</v>
      </c>
      <c r="DH197" s="15"/>
      <c r="DI197" s="15">
        <f t="shared" ref="DI197:DI198" si="922">DF197+DH197</f>
        <v>5000</v>
      </c>
      <c r="DK197" s="15"/>
      <c r="DL197" s="15">
        <f t="shared" ref="DL197:DL198" si="923">DI197+DK197</f>
        <v>5000</v>
      </c>
      <c r="DN197" s="15"/>
      <c r="DO197" s="15">
        <f t="shared" ref="DO197:DO198" si="924">DL197+DN197</f>
        <v>5000</v>
      </c>
      <c r="DQ197" s="15"/>
      <c r="DR197" s="15">
        <f t="shared" ref="DR197:DR198" si="925">DO197+DQ197</f>
        <v>5000</v>
      </c>
      <c r="DT197" s="15"/>
      <c r="DU197" s="15">
        <f t="shared" ref="DU197:DU198" si="926">DR197+DT197</f>
        <v>5000</v>
      </c>
      <c r="DW197" s="15"/>
      <c r="DX197" s="15">
        <f t="shared" ref="DX197:DX198" si="927">DU197+DW197</f>
        <v>5000</v>
      </c>
      <c r="DZ197" s="15"/>
      <c r="EA197" s="15">
        <f t="shared" ref="EA197:EA198" si="928">DX197+DZ197</f>
        <v>5000</v>
      </c>
      <c r="EC197" s="15"/>
      <c r="ED197" s="15">
        <f t="shared" ref="ED197:ED198" si="929">EA197+EC197</f>
        <v>5000</v>
      </c>
      <c r="EF197" s="227">
        <v>6000</v>
      </c>
      <c r="EG197" s="15">
        <f t="shared" ref="EG197:EG198" si="930">ED197+EF197</f>
        <v>11000</v>
      </c>
      <c r="EI197" s="15">
        <v>10016</v>
      </c>
      <c r="EK197" s="15">
        <v>10000</v>
      </c>
      <c r="EM197" s="227">
        <v>-10000</v>
      </c>
      <c r="EN197" s="15">
        <f t="shared" ref="EN197:EN198" si="931">EK197+EM197</f>
        <v>0</v>
      </c>
      <c r="EP197" s="15"/>
      <c r="EQ197" s="15">
        <f t="shared" ref="EQ197:EQ198" si="932">EN197+EP197</f>
        <v>0</v>
      </c>
      <c r="ES197" s="15"/>
      <c r="ET197" s="15">
        <f t="shared" ref="ET197:ET198" si="933">EQ197+ES197</f>
        <v>0</v>
      </c>
      <c r="EW197" s="15">
        <f t="shared" ref="EW197:EW198" si="934">ET197+EV197</f>
        <v>0</v>
      </c>
      <c r="EZ197" s="15">
        <f t="shared" ref="EZ197:EZ198" si="935">EW197+EY197</f>
        <v>0</v>
      </c>
      <c r="FC197" s="15">
        <f t="shared" ref="FC197:FC198" si="936">EZ197+FB197</f>
        <v>0</v>
      </c>
      <c r="FF197" s="15">
        <f t="shared" ref="FF197:FF198" si="937">FC197+FE197</f>
        <v>0</v>
      </c>
      <c r="FI197" s="15">
        <f t="shared" ref="FI197:FI198" si="938">FF197+FH197</f>
        <v>0</v>
      </c>
      <c r="FL197" s="15">
        <f t="shared" ref="FL197:FL198" si="939">FI197+FK197</f>
        <v>0</v>
      </c>
      <c r="FO197" s="15">
        <f t="shared" ref="FO197:FO198" si="940">FL197+FN197</f>
        <v>0</v>
      </c>
      <c r="FR197" s="15">
        <v>0</v>
      </c>
      <c r="FW197" s="235" t="e">
        <f t="shared" si="860"/>
        <v>#DIV/0!</v>
      </c>
      <c r="FZ197" s="15">
        <f>FV197+FY197</f>
        <v>0</v>
      </c>
      <c r="GB197" s="15"/>
      <c r="GC197" s="15">
        <f>FZ197+GB197</f>
        <v>0</v>
      </c>
      <c r="GE197" s="15"/>
      <c r="GF197" s="15">
        <f>GC197+GE197</f>
        <v>0</v>
      </c>
      <c r="GH197" s="15"/>
      <c r="GI197" s="15">
        <f>GF197+GH197</f>
        <v>0</v>
      </c>
      <c r="GK197" s="15"/>
      <c r="GL197" s="15">
        <f>GI197+GK197</f>
        <v>0</v>
      </c>
      <c r="GN197" s="15"/>
      <c r="GO197" s="15">
        <f>GL197+GN197</f>
        <v>0</v>
      </c>
      <c r="GQ197" s="15"/>
      <c r="GR197" s="15">
        <f>GO197+GQ197</f>
        <v>0</v>
      </c>
      <c r="GT197" s="15"/>
      <c r="GU197" s="15">
        <f>GR197+GT197</f>
        <v>0</v>
      </c>
      <c r="GW197" s="15"/>
      <c r="GX197" s="15">
        <f>GU197+GW197</f>
        <v>0</v>
      </c>
      <c r="GZ197" s="15"/>
      <c r="HA197" s="189">
        <f>GX197+GZ197</f>
        <v>0</v>
      </c>
      <c r="HE197" s="15">
        <v>5000</v>
      </c>
      <c r="HF197" s="235" t="e">
        <f t="shared" si="861"/>
        <v>#DIV/0!</v>
      </c>
    </row>
    <row r="198" spans="1:214" outlineLevel="1">
      <c r="A198" s="1" t="s">
        <v>71</v>
      </c>
      <c r="B198" s="1" t="s">
        <v>199</v>
      </c>
      <c r="C198" s="4" t="s">
        <v>200</v>
      </c>
      <c r="D198" s="43">
        <v>0</v>
      </c>
      <c r="E198" s="34">
        <v>0</v>
      </c>
      <c r="F198" s="43">
        <v>200000</v>
      </c>
      <c r="G198" s="34">
        <v>96.52</v>
      </c>
      <c r="H198" s="46">
        <v>193048</v>
      </c>
      <c r="I198" s="36">
        <v>193048</v>
      </c>
      <c r="J198" s="14"/>
      <c r="L198" s="118">
        <v>0</v>
      </c>
      <c r="M198" s="17">
        <f t="shared" si="853"/>
        <v>-1</v>
      </c>
      <c r="N198" s="17">
        <f t="shared" si="854"/>
        <v>-1</v>
      </c>
      <c r="Q198" s="118">
        <v>55000</v>
      </c>
      <c r="R198" s="15">
        <v>51375</v>
      </c>
      <c r="S198" s="118">
        <v>51500</v>
      </c>
      <c r="T198" s="15">
        <f t="shared" si="862"/>
        <v>-3500</v>
      </c>
      <c r="U198" s="16">
        <f t="shared" si="863"/>
        <v>-6.3636363636363602E-2</v>
      </c>
      <c r="Y198" s="118">
        <v>51500</v>
      </c>
      <c r="AA198" s="118">
        <v>51400</v>
      </c>
      <c r="AB198" s="185">
        <f t="shared" si="864"/>
        <v>-100</v>
      </c>
      <c r="AC198" s="187">
        <f t="shared" si="919"/>
        <v>-100</v>
      </c>
      <c r="AD198" s="187"/>
      <c r="AE198" s="118">
        <v>51400</v>
      </c>
      <c r="AF198" s="182"/>
      <c r="AH198" s="15">
        <v>51375</v>
      </c>
      <c r="AI198" s="17">
        <f t="shared" si="866"/>
        <v>0.9995136186770428</v>
      </c>
      <c r="AK198" s="183">
        <f>'[4]2020'!$AM$64+'[4]2020'!$AM$60+500</f>
        <v>72000</v>
      </c>
      <c r="AS198" s="15">
        <f t="shared" si="867"/>
        <v>72000</v>
      </c>
      <c r="AV198" s="15">
        <f t="shared" si="868"/>
        <v>72000</v>
      </c>
      <c r="AX198" s="15"/>
      <c r="AY198" s="15">
        <f t="shared" si="869"/>
        <v>72000</v>
      </c>
      <c r="BB198" s="15">
        <f t="shared" si="870"/>
        <v>72000</v>
      </c>
      <c r="BD198" s="15">
        <v>-22000</v>
      </c>
      <c r="BE198" s="15">
        <f t="shared" si="871"/>
        <v>50000</v>
      </c>
      <c r="BG198" s="15">
        <v>-2500</v>
      </c>
      <c r="BH198" s="15">
        <f t="shared" si="872"/>
        <v>47500</v>
      </c>
      <c r="BJ198" s="15">
        <v>47069</v>
      </c>
      <c r="BK198" s="235">
        <f t="shared" si="873"/>
        <v>0.99092631578947366</v>
      </c>
      <c r="BM198" s="290">
        <f>1590000+35400</f>
        <v>1625400</v>
      </c>
      <c r="BN198" s="235">
        <f t="shared" si="874"/>
        <v>34.532282393932313</v>
      </c>
      <c r="BO198" s="235">
        <f t="shared" si="916"/>
        <v>34.218947368421055</v>
      </c>
      <c r="BQ198" s="15"/>
      <c r="BR198" s="15">
        <f t="shared" si="920"/>
        <v>1625400</v>
      </c>
      <c r="BT198" s="15"/>
      <c r="BU198" s="15">
        <f t="shared" si="876"/>
        <v>1625400</v>
      </c>
      <c r="BW198" s="15">
        <v>60000</v>
      </c>
      <c r="BX198" s="15">
        <f t="shared" si="877"/>
        <v>1685400</v>
      </c>
      <c r="BZ198" s="15"/>
      <c r="CA198" s="15">
        <f t="shared" si="878"/>
        <v>1685400</v>
      </c>
      <c r="CC198" s="15"/>
      <c r="CD198" s="15">
        <f t="shared" si="879"/>
        <v>1685400</v>
      </c>
      <c r="CF198" s="15">
        <v>-954000</v>
      </c>
      <c r="CG198" s="15">
        <f t="shared" si="880"/>
        <v>731400</v>
      </c>
      <c r="CI198" s="227">
        <v>-500</v>
      </c>
      <c r="CJ198" s="15">
        <f t="shared" si="881"/>
        <v>730900</v>
      </c>
      <c r="CM198" s="15">
        <f t="shared" si="882"/>
        <v>730900</v>
      </c>
      <c r="CP198" s="15">
        <f t="shared" si="883"/>
        <v>730900</v>
      </c>
      <c r="CS198" s="15">
        <f t="shared" si="884"/>
        <v>730900</v>
      </c>
      <c r="CU198" s="227">
        <v>119100</v>
      </c>
      <c r="CV198" s="15">
        <f t="shared" si="885"/>
        <v>850000</v>
      </c>
      <c r="CX198" s="227"/>
      <c r="CY198" s="15">
        <f t="shared" si="886"/>
        <v>850000</v>
      </c>
      <c r="DA198" s="15">
        <v>850540</v>
      </c>
      <c r="DC198" s="15">
        <v>61700</v>
      </c>
      <c r="DE198" s="15"/>
      <c r="DF198" s="15">
        <f t="shared" si="921"/>
        <v>61700</v>
      </c>
      <c r="DH198" s="15"/>
      <c r="DI198" s="15">
        <f t="shared" si="922"/>
        <v>61700</v>
      </c>
      <c r="DK198" s="15"/>
      <c r="DL198" s="15">
        <f t="shared" si="923"/>
        <v>61700</v>
      </c>
      <c r="DN198" s="15"/>
      <c r="DO198" s="15">
        <f t="shared" si="924"/>
        <v>61700</v>
      </c>
      <c r="DQ198" s="227">
        <v>63900</v>
      </c>
      <c r="DR198" s="15">
        <f t="shared" si="925"/>
        <v>125600</v>
      </c>
      <c r="DT198" s="15"/>
      <c r="DU198" s="15">
        <f t="shared" si="926"/>
        <v>125600</v>
      </c>
      <c r="DW198" s="15"/>
      <c r="DX198" s="15">
        <f t="shared" si="927"/>
        <v>125600</v>
      </c>
      <c r="DZ198" s="15"/>
      <c r="EA198" s="15">
        <f t="shared" si="928"/>
        <v>125600</v>
      </c>
      <c r="EC198" s="15"/>
      <c r="ED198" s="15">
        <f t="shared" si="929"/>
        <v>125600</v>
      </c>
      <c r="EF198" s="15"/>
      <c r="EG198" s="15">
        <f t="shared" si="930"/>
        <v>125600</v>
      </c>
      <c r="EI198" s="15">
        <v>125530</v>
      </c>
      <c r="EK198" s="15">
        <v>423500</v>
      </c>
      <c r="EM198" s="15"/>
      <c r="EN198" s="15">
        <f t="shared" si="931"/>
        <v>423500</v>
      </c>
      <c r="EP198" s="15"/>
      <c r="EQ198" s="15">
        <f t="shared" si="932"/>
        <v>423500</v>
      </c>
      <c r="ES198" s="15"/>
      <c r="ET198" s="15">
        <f t="shared" si="933"/>
        <v>423500</v>
      </c>
      <c r="EW198" s="15">
        <f t="shared" si="934"/>
        <v>423500</v>
      </c>
      <c r="EZ198" s="15">
        <f t="shared" si="935"/>
        <v>423500</v>
      </c>
      <c r="FC198" s="15">
        <f t="shared" si="936"/>
        <v>423500</v>
      </c>
      <c r="FF198" s="15">
        <f t="shared" si="937"/>
        <v>423500</v>
      </c>
      <c r="FI198" s="15">
        <f t="shared" si="938"/>
        <v>423500</v>
      </c>
      <c r="FL198" s="15">
        <f t="shared" si="939"/>
        <v>423500</v>
      </c>
      <c r="FO198" s="15">
        <f t="shared" si="940"/>
        <v>423500</v>
      </c>
      <c r="FR198" s="15">
        <v>423500</v>
      </c>
      <c r="FT198" s="15">
        <v>423500</v>
      </c>
      <c r="FV198" s="15">
        <v>0</v>
      </c>
      <c r="FW198" s="235">
        <f t="shared" si="860"/>
        <v>0</v>
      </c>
      <c r="FZ198" s="15">
        <f>FV198+FY198</f>
        <v>0</v>
      </c>
      <c r="GB198" s="15"/>
      <c r="GC198" s="15">
        <f>FZ198+GB198</f>
        <v>0</v>
      </c>
      <c r="GE198" s="15"/>
      <c r="GF198" s="15">
        <f>GC198+GE198</f>
        <v>0</v>
      </c>
      <c r="GH198" s="15"/>
      <c r="GI198" s="15">
        <f>GF198+GH198</f>
        <v>0</v>
      </c>
      <c r="GK198" s="15"/>
      <c r="GL198" s="15">
        <f>GI198+GK198</f>
        <v>0</v>
      </c>
      <c r="GN198" s="15"/>
      <c r="GO198" s="15">
        <f>GL198+GN198</f>
        <v>0</v>
      </c>
      <c r="GQ198" s="15"/>
      <c r="GR198" s="15">
        <f>GO198+GQ198</f>
        <v>0</v>
      </c>
      <c r="GT198" s="15"/>
      <c r="GU198" s="15">
        <f>GR198+GT198</f>
        <v>0</v>
      </c>
      <c r="GW198" s="15"/>
      <c r="GX198" s="15">
        <f>GU198+GW198</f>
        <v>0</v>
      </c>
      <c r="GZ198" s="15"/>
      <c r="HA198" s="189">
        <f>GX198+GZ198</f>
        <v>0</v>
      </c>
      <c r="HE198" s="227">
        <f>91000*1.21</f>
        <v>110110</v>
      </c>
      <c r="HF198" s="235" t="e">
        <f t="shared" si="861"/>
        <v>#DIV/0!</v>
      </c>
    </row>
    <row r="199" spans="1:214" outlineLevel="1">
      <c r="A199" s="1" t="s">
        <v>71</v>
      </c>
      <c r="B199" s="1" t="s">
        <v>210</v>
      </c>
      <c r="C199" s="4" t="s">
        <v>211</v>
      </c>
      <c r="D199" s="43"/>
      <c r="E199" s="34"/>
      <c r="F199" s="43"/>
      <c r="G199" s="34"/>
      <c r="H199" s="46"/>
      <c r="I199" s="36"/>
      <c r="J199" s="14"/>
      <c r="M199" s="17"/>
      <c r="N199" s="17"/>
      <c r="U199" s="16"/>
      <c r="Y199" s="118"/>
      <c r="AB199" s="185"/>
      <c r="AC199" s="187"/>
      <c r="AD199" s="187"/>
      <c r="AF199" s="182"/>
      <c r="AH199" s="15"/>
      <c r="AI199" s="17"/>
      <c r="AK199" s="183"/>
      <c r="AS199" s="15"/>
      <c r="AV199" s="15"/>
      <c r="AX199" s="15"/>
      <c r="AY199" s="15"/>
      <c r="BB199" s="15"/>
      <c r="BD199" s="15"/>
      <c r="BE199" s="15"/>
      <c r="BG199" s="15"/>
      <c r="BH199" s="15"/>
      <c r="BK199" s="235"/>
      <c r="BM199" s="290"/>
      <c r="BN199" s="235"/>
      <c r="BO199" s="235"/>
      <c r="BQ199" s="15"/>
      <c r="BR199" s="15"/>
      <c r="BT199" s="15"/>
      <c r="BU199" s="15"/>
      <c r="BW199" s="15"/>
      <c r="BX199" s="15"/>
      <c r="BZ199" s="15"/>
      <c r="CA199" s="15"/>
      <c r="CC199" s="15"/>
      <c r="CD199" s="15"/>
      <c r="CF199" s="15">
        <v>954000</v>
      </c>
      <c r="CG199" s="15">
        <f t="shared" si="880"/>
        <v>954000</v>
      </c>
      <c r="CH199">
        <v>332</v>
      </c>
      <c r="CI199" s="227">
        <v>500</v>
      </c>
      <c r="CJ199" s="15">
        <f t="shared" si="881"/>
        <v>954500</v>
      </c>
      <c r="CL199" s="15">
        <v>1000</v>
      </c>
      <c r="CM199" s="15">
        <f t="shared" si="882"/>
        <v>955500</v>
      </c>
      <c r="CP199" s="15">
        <f t="shared" si="883"/>
        <v>955500</v>
      </c>
      <c r="CS199" s="15">
        <f t="shared" si="884"/>
        <v>955500</v>
      </c>
      <c r="CV199" s="15">
        <f t="shared" si="885"/>
        <v>955500</v>
      </c>
      <c r="CY199" s="15">
        <f t="shared" si="886"/>
        <v>955500</v>
      </c>
      <c r="DA199" s="15">
        <v>954332</v>
      </c>
      <c r="DC199" s="15">
        <v>0</v>
      </c>
      <c r="DE199" s="15"/>
      <c r="DF199" s="15"/>
      <c r="DH199" s="15"/>
      <c r="DI199" s="15"/>
      <c r="DK199" s="15"/>
      <c r="DL199" s="15"/>
      <c r="DN199" s="15"/>
      <c r="DO199" s="15"/>
      <c r="DQ199" s="15"/>
      <c r="DR199" s="15"/>
      <c r="DT199" s="15"/>
      <c r="DU199" s="15"/>
      <c r="DW199" s="15"/>
      <c r="DX199" s="15"/>
      <c r="DZ199" s="15"/>
      <c r="EA199" s="15"/>
      <c r="EC199" s="15"/>
      <c r="ED199" s="15"/>
      <c r="EF199" s="15"/>
      <c r="EG199" s="15"/>
      <c r="EI199" s="15">
        <v>0</v>
      </c>
      <c r="EK199" s="15">
        <v>0</v>
      </c>
      <c r="EM199" s="15"/>
      <c r="EN199" s="15"/>
      <c r="EP199" s="15"/>
      <c r="EQ199" s="15"/>
      <c r="ES199" s="15"/>
      <c r="ET199" s="15"/>
      <c r="EW199" s="15"/>
      <c r="EZ199" s="15"/>
      <c r="FC199" s="15"/>
      <c r="FF199" s="15"/>
      <c r="FI199" s="15"/>
      <c r="FL199" s="15"/>
      <c r="FO199" s="15"/>
      <c r="FR199" s="15"/>
      <c r="FZ199" s="15"/>
      <c r="GB199" s="15"/>
      <c r="GC199" s="15"/>
      <c r="GE199" s="15"/>
      <c r="GF199" s="15"/>
      <c r="GH199" s="15"/>
      <c r="GI199" s="15"/>
      <c r="GK199" s="15"/>
      <c r="GL199" s="15"/>
      <c r="GN199" s="15"/>
      <c r="GO199" s="15"/>
      <c r="GQ199" s="15"/>
      <c r="GR199" s="15"/>
      <c r="GT199" s="15"/>
      <c r="GU199" s="15"/>
      <c r="GW199" s="15"/>
      <c r="GX199" s="15"/>
      <c r="GZ199" s="15"/>
      <c r="HE199" s="15">
        <v>0</v>
      </c>
    </row>
    <row r="200" spans="1:214" outlineLevel="1">
      <c r="A200" s="1" t="s">
        <v>71</v>
      </c>
      <c r="B200" s="1" t="s">
        <v>563</v>
      </c>
      <c r="C200" s="4" t="s">
        <v>564</v>
      </c>
      <c r="D200" s="43"/>
      <c r="E200" s="34"/>
      <c r="F200" s="43"/>
      <c r="G200" s="34"/>
      <c r="H200" s="46"/>
      <c r="I200" s="36"/>
      <c r="J200" s="14"/>
      <c r="M200" s="17"/>
      <c r="N200" s="17"/>
      <c r="U200" s="16"/>
      <c r="Y200" s="118"/>
      <c r="AB200" s="185"/>
      <c r="AC200" s="187"/>
      <c r="AD200" s="187"/>
      <c r="AF200" s="182"/>
      <c r="AH200" s="15"/>
      <c r="AI200" s="17"/>
      <c r="AK200" s="183"/>
      <c r="AS200" s="15"/>
      <c r="AV200" s="15"/>
      <c r="AX200" s="15"/>
      <c r="AY200" s="15"/>
      <c r="BB200" s="15"/>
      <c r="BD200" s="15"/>
      <c r="BE200" s="15"/>
      <c r="BG200" s="15"/>
      <c r="BH200" s="15"/>
      <c r="BK200" s="235"/>
      <c r="BM200" s="290"/>
      <c r="BN200" s="235"/>
      <c r="BO200" s="235"/>
      <c r="BQ200" s="15"/>
      <c r="BR200" s="15"/>
      <c r="BT200" s="15"/>
      <c r="BU200" s="15"/>
      <c r="BW200" s="15"/>
      <c r="BX200" s="15"/>
      <c r="BZ200" s="15"/>
      <c r="CA200" s="15"/>
      <c r="CC200" s="15"/>
      <c r="CD200" s="15"/>
      <c r="CF200" s="15"/>
      <c r="CG200" s="15"/>
      <c r="CI200" s="227"/>
      <c r="CJ200" s="15"/>
      <c r="CM200" s="15"/>
      <c r="CP200" s="15"/>
      <c r="CR200" s="227">
        <v>242000</v>
      </c>
      <c r="CS200" s="15">
        <f t="shared" si="884"/>
        <v>242000</v>
      </c>
      <c r="CV200" s="15">
        <f t="shared" si="885"/>
        <v>242000</v>
      </c>
      <c r="CY200" s="15">
        <f t="shared" si="886"/>
        <v>242000</v>
      </c>
      <c r="DA200" s="15">
        <v>241650</v>
      </c>
      <c r="DC200" s="15">
        <v>100000</v>
      </c>
      <c r="DE200" s="15"/>
      <c r="DF200" s="15">
        <f t="shared" si="921"/>
        <v>100000</v>
      </c>
      <c r="DH200" s="15"/>
      <c r="DI200" s="15">
        <f t="shared" ref="DI200" si="941">DF200+DH200</f>
        <v>100000</v>
      </c>
      <c r="DK200" s="15"/>
      <c r="DL200" s="15">
        <f t="shared" ref="DL200" si="942">DI200+DK200</f>
        <v>100000</v>
      </c>
      <c r="DN200" s="15"/>
      <c r="DO200" s="15">
        <f t="shared" ref="DO200" si="943">DL200+DN200</f>
        <v>100000</v>
      </c>
      <c r="DQ200" s="15"/>
      <c r="DR200" s="15">
        <f t="shared" ref="DR200" si="944">DO200+DQ200</f>
        <v>100000</v>
      </c>
      <c r="DT200" s="15"/>
      <c r="DU200" s="15">
        <f t="shared" ref="DU200" si="945">DR200+DT200</f>
        <v>100000</v>
      </c>
      <c r="DW200" s="15"/>
      <c r="DX200" s="15">
        <f t="shared" ref="DX200" si="946">DU200+DW200</f>
        <v>100000</v>
      </c>
      <c r="DZ200" s="15"/>
      <c r="EA200" s="15">
        <f t="shared" ref="EA200" si="947">DX200+DZ200</f>
        <v>100000</v>
      </c>
      <c r="EC200" s="227">
        <v>-100000</v>
      </c>
      <c r="ED200" s="15">
        <f t="shared" ref="ED200" si="948">EA200+EC200</f>
        <v>0</v>
      </c>
      <c r="EF200" s="15"/>
      <c r="EG200" s="15">
        <f t="shared" ref="EG200" si="949">ED200+EF200</f>
        <v>0</v>
      </c>
      <c r="EI200" s="15">
        <v>0</v>
      </c>
      <c r="EK200" s="15">
        <v>0</v>
      </c>
      <c r="EM200" s="15"/>
      <c r="EN200" s="15">
        <f t="shared" ref="EN200" si="950">EK200+EM200</f>
        <v>0</v>
      </c>
      <c r="EP200" s="15"/>
      <c r="EQ200" s="15">
        <f t="shared" ref="EQ200" si="951">EN200+EP200</f>
        <v>0</v>
      </c>
      <c r="ES200" s="15"/>
      <c r="ET200" s="15">
        <f t="shared" ref="ET200" si="952">EQ200+ES200</f>
        <v>0</v>
      </c>
      <c r="EW200" s="15">
        <f t="shared" ref="EW200" si="953">ET200+EV200</f>
        <v>0</v>
      </c>
      <c r="EZ200" s="15">
        <f t="shared" ref="EZ200" si="954">EW200+EY200</f>
        <v>0</v>
      </c>
      <c r="FC200" s="15">
        <f t="shared" ref="FC200" si="955">EZ200+FB200</f>
        <v>0</v>
      </c>
      <c r="FF200" s="15">
        <f t="shared" ref="FF200" si="956">FC200+FE200</f>
        <v>0</v>
      </c>
      <c r="FI200" s="15">
        <f t="shared" ref="FI200" si="957">FF200+FH200</f>
        <v>0</v>
      </c>
      <c r="FL200" s="15">
        <f t="shared" ref="FL200" si="958">FI200+FK200</f>
        <v>0</v>
      </c>
      <c r="FO200" s="15">
        <f t="shared" ref="FO200" si="959">FL200+FN200</f>
        <v>0</v>
      </c>
      <c r="FR200" s="15">
        <v>0</v>
      </c>
      <c r="FZ200" s="15">
        <f>FV200+FY200</f>
        <v>0</v>
      </c>
      <c r="GB200" s="15"/>
      <c r="GC200" s="15">
        <f>FZ200+GB200</f>
        <v>0</v>
      </c>
      <c r="GE200" s="15"/>
      <c r="GF200" s="15">
        <f>GC200+GE200</f>
        <v>0</v>
      </c>
      <c r="GH200" s="15"/>
      <c r="GI200" s="15">
        <f>GF200+GH200</f>
        <v>0</v>
      </c>
      <c r="GK200" s="15"/>
      <c r="GL200" s="15">
        <f>GI200+GK200</f>
        <v>0</v>
      </c>
      <c r="GN200" s="15"/>
      <c r="GO200" s="15">
        <f>GL200+GN200</f>
        <v>0</v>
      </c>
      <c r="GQ200" s="15"/>
      <c r="GR200" s="15">
        <f>GO200+GQ200</f>
        <v>0</v>
      </c>
      <c r="GT200" s="15"/>
      <c r="GU200" s="15">
        <f>GR200+GT200</f>
        <v>0</v>
      </c>
      <c r="GW200" s="15"/>
      <c r="GX200" s="15">
        <f>GU200+GW200</f>
        <v>0</v>
      </c>
      <c r="GZ200" s="15"/>
      <c r="HA200" s="189">
        <f>GX200+GZ200</f>
        <v>0</v>
      </c>
      <c r="HE200" s="15">
        <v>0</v>
      </c>
    </row>
    <row r="201" spans="1:214" outlineLevel="1">
      <c r="A201" s="1" t="s">
        <v>71</v>
      </c>
      <c r="B201" s="4" t="s">
        <v>46</v>
      </c>
      <c r="C201" s="4" t="s">
        <v>73</v>
      </c>
      <c r="D201" s="43">
        <v>789200</v>
      </c>
      <c r="E201" s="34">
        <v>89.68</v>
      </c>
      <c r="F201" s="43">
        <v>999285</v>
      </c>
      <c r="G201" s="34">
        <v>70.83</v>
      </c>
      <c r="H201" s="46">
        <v>707780.43</v>
      </c>
      <c r="I201" s="36"/>
      <c r="J201" s="14"/>
      <c r="Y201" s="118"/>
      <c r="AF201" s="182"/>
      <c r="AH201" s="15"/>
      <c r="AX201" s="15"/>
      <c r="BD201" s="15"/>
      <c r="BG201" s="15"/>
      <c r="DE201" s="15"/>
      <c r="DH201" s="15"/>
      <c r="DK201" s="15"/>
      <c r="DN201" s="15"/>
      <c r="DQ201" s="15"/>
      <c r="DT201" s="15"/>
      <c r="DW201" s="15"/>
      <c r="DZ201" s="15"/>
      <c r="EC201" s="15"/>
      <c r="EF201" s="15"/>
      <c r="EK201" s="15"/>
      <c r="EM201" s="15"/>
      <c r="EP201" s="15"/>
      <c r="ES201" s="15"/>
      <c r="GB201" s="15"/>
      <c r="GE201" s="15"/>
      <c r="GH201" s="15"/>
      <c r="GK201" s="15"/>
      <c r="GN201" s="15"/>
      <c r="GQ201" s="15"/>
      <c r="GT201" s="15"/>
      <c r="GW201" s="15"/>
      <c r="GZ201" s="15"/>
    </row>
    <row r="202" spans="1:214" outlineLevel="1">
      <c r="A202" s="1" t="s">
        <v>74</v>
      </c>
      <c r="B202" s="4" t="s">
        <v>48</v>
      </c>
      <c r="C202" s="4" t="s">
        <v>75</v>
      </c>
      <c r="D202" s="43">
        <v>789200</v>
      </c>
      <c r="E202" s="34">
        <v>89.68</v>
      </c>
      <c r="F202" s="43">
        <v>999285</v>
      </c>
      <c r="G202" s="34">
        <v>70.83</v>
      </c>
      <c r="H202" s="46">
        <v>707780.43</v>
      </c>
      <c r="I202" s="36"/>
      <c r="J202" s="14"/>
      <c r="Y202" s="118"/>
      <c r="AF202" s="182"/>
      <c r="AH202" s="15"/>
      <c r="AX202" s="15"/>
      <c r="BD202" s="15"/>
      <c r="BG202" s="15"/>
      <c r="DE202" s="15"/>
      <c r="DH202" s="15"/>
      <c r="DK202" s="15"/>
      <c r="DN202" s="15"/>
      <c r="DQ202" s="15"/>
      <c r="DT202" s="15"/>
      <c r="DW202" s="15"/>
      <c r="DZ202" s="15"/>
      <c r="EC202" s="15"/>
      <c r="EF202" s="15"/>
      <c r="EK202" s="15"/>
      <c r="EM202" s="15"/>
      <c r="EP202" s="15"/>
      <c r="ES202" s="15"/>
      <c r="GB202" s="15"/>
      <c r="GE202" s="15"/>
      <c r="GH202" s="15"/>
      <c r="GK202" s="15"/>
      <c r="GN202" s="15"/>
      <c r="GQ202" s="15"/>
      <c r="GT202" s="15"/>
      <c r="GW202" s="15"/>
      <c r="GZ202" s="15"/>
    </row>
    <row r="203" spans="1:214" ht="16.5" customHeight="1" thickBot="1">
      <c r="A203" s="54" t="s">
        <v>71</v>
      </c>
      <c r="B203" s="55" t="s">
        <v>316</v>
      </c>
      <c r="C203" s="283" t="s">
        <v>342</v>
      </c>
      <c r="D203" s="57">
        <f>SUM(D181:D198)</f>
        <v>789200</v>
      </c>
      <c r="E203" s="58"/>
      <c r="F203" s="57">
        <f>SUM(F181:F198)</f>
        <v>999285</v>
      </c>
      <c r="G203" s="58"/>
      <c r="H203" s="57"/>
      <c r="I203" s="57">
        <f>SUM(I181:I198)</f>
        <v>732929.8</v>
      </c>
      <c r="J203" s="138" t="e">
        <f>I203/$I$350</f>
        <v>#REF!</v>
      </c>
      <c r="K203" s="60"/>
      <c r="L203" s="122">
        <f>SUM(L181:L197)</f>
        <v>872000</v>
      </c>
      <c r="M203" s="61">
        <f t="shared" ref="M203:M237" si="960">L203/F203-1</f>
        <v>-0.12737607389283334</v>
      </c>
      <c r="N203" s="61">
        <f t="shared" ref="N203:N237" si="961">L203/I203-1</f>
        <v>0.18974559364348398</v>
      </c>
      <c r="O203" s="17">
        <f>L203/$L$350</f>
        <v>0.20232018937021234</v>
      </c>
      <c r="P203" s="17"/>
      <c r="Q203" s="122">
        <f>SUM(Q181:Q197)</f>
        <v>812280</v>
      </c>
      <c r="R203" s="122">
        <f>SUM(R181:R198)</f>
        <v>328179</v>
      </c>
      <c r="S203" s="122">
        <f>SUM(S181:S197)</f>
        <v>576500</v>
      </c>
      <c r="T203" s="122">
        <f>SUM(T181:T198)</f>
        <v>-239280</v>
      </c>
      <c r="U203" s="155">
        <f>S203/Q203-1</f>
        <v>-0.2902693652435121</v>
      </c>
      <c r="Y203" s="122">
        <f>SUM(Y181:Y197)</f>
        <v>576500</v>
      </c>
      <c r="AA203" s="122">
        <f>SUM(AA181:AA197)</f>
        <v>668500</v>
      </c>
      <c r="AB203" s="122">
        <f>SUM(AB181:AB197)</f>
        <v>92000</v>
      </c>
      <c r="AE203" s="122">
        <f>SUM(AE181:AE197)</f>
        <v>671600</v>
      </c>
      <c r="AF203" s="182"/>
      <c r="AH203" s="122">
        <f>SUM(AH181:AH197)</f>
        <v>622913.98</v>
      </c>
      <c r="AI203" s="17">
        <f t="shared" ref="AI203:AI205" si="962">AH203/AE203</f>
        <v>0.92750741512805235</v>
      </c>
      <c r="AK203" s="122">
        <f>SUM(AK181:AK197)</f>
        <v>688600</v>
      </c>
      <c r="AL203" s="193">
        <f t="shared" ref="AL203:AL205" si="963">AK203/L203</f>
        <v>0.78967889908256883</v>
      </c>
      <c r="AM203" s="17">
        <f t="shared" ref="AM203:AM205" si="964">AK203/AE203</f>
        <v>1.025312686122692</v>
      </c>
      <c r="AN203" s="17">
        <f t="shared" ref="AN203:AN205" si="965">AK203/AH203</f>
        <v>1.1054495839056302</v>
      </c>
      <c r="AS203" s="122">
        <f>SUM(AS181:AS197)</f>
        <v>688600</v>
      </c>
      <c r="AU203" s="122">
        <f>SUM(AU181:AU197)</f>
        <v>0</v>
      </c>
      <c r="AV203" s="122">
        <f>SUM(AV181:AV197)</f>
        <v>688600</v>
      </c>
      <c r="AX203" s="122">
        <f>SUM(AX181:AX197)</f>
        <v>0</v>
      </c>
      <c r="AY203" s="122">
        <f>SUM(AY181:AY197)</f>
        <v>688600</v>
      </c>
      <c r="BA203" s="122">
        <f>SUM(BA181:BA197)</f>
        <v>-2000</v>
      </c>
      <c r="BB203" s="122">
        <f>SUM(BB181:BB197)</f>
        <v>686600</v>
      </c>
      <c r="BD203" s="122">
        <f>SUM(BD181:BD197)</f>
        <v>157500</v>
      </c>
      <c r="BE203" s="122">
        <f>SUM(BE181:BE197)</f>
        <v>844100</v>
      </c>
      <c r="BG203" s="122">
        <f>SUM(BG181:BG197)</f>
        <v>-3000</v>
      </c>
      <c r="BH203" s="122">
        <f>SUM(BH181:BH197)</f>
        <v>841100</v>
      </c>
      <c r="BJ203" s="122">
        <f>SUM(BJ181:BJ197)</f>
        <v>779121.03</v>
      </c>
      <c r="BK203" s="236">
        <f t="shared" ref="BK203:BK205" si="966">BJ203/BH203</f>
        <v>0.92631200808465108</v>
      </c>
      <c r="BM203" s="122">
        <f>SUM(BM181:BM197)</f>
        <v>789650</v>
      </c>
      <c r="BN203" s="236">
        <f t="shared" ref="BN203:BN205" si="967">BM203/BJ203</f>
        <v>1.0135139081023137</v>
      </c>
      <c r="BO203" s="236">
        <f t="shared" ref="BO203:BO205" si="968">BM203/BH203</f>
        <v>0.93883010343597673</v>
      </c>
      <c r="BQ203" s="122">
        <f>SUM(BQ181:BQ197)</f>
        <v>35400</v>
      </c>
      <c r="BR203" s="122">
        <f>SUM(BR181:BR197)</f>
        <v>825050</v>
      </c>
      <c r="BT203" s="122">
        <f>SUM(BT181:BT197)</f>
        <v>0</v>
      </c>
      <c r="BU203" s="122">
        <f>SUM(BU181:BU197)</f>
        <v>825050</v>
      </c>
      <c r="BW203" s="122">
        <f>SUM(BW181:BW197)</f>
        <v>0</v>
      </c>
      <c r="BX203" s="122">
        <f>SUM(BX181:BX197)</f>
        <v>825050</v>
      </c>
      <c r="BZ203" s="122">
        <f>SUM(BZ181:BZ197)</f>
        <v>0</v>
      </c>
      <c r="CA203" s="122">
        <f>SUM(CA181:CA197)</f>
        <v>825050</v>
      </c>
      <c r="CC203" s="122">
        <f>SUM(CC181:CC197)</f>
        <v>241888.89</v>
      </c>
      <c r="CD203" s="122">
        <f>SUM(CD181:CD197)</f>
        <v>1066938.8900000001</v>
      </c>
      <c r="CF203" s="122">
        <f>SUM(CF181:CF197)</f>
        <v>45000</v>
      </c>
      <c r="CG203" s="122">
        <f>SUM(CG181:CG197)</f>
        <v>1111938.8900000001</v>
      </c>
      <c r="CI203" s="122">
        <f>SUM(CI181:CI197)</f>
        <v>-19000</v>
      </c>
      <c r="CJ203" s="122">
        <f>SUM(CJ181:CJ197)</f>
        <v>1092938.8900000001</v>
      </c>
      <c r="CL203" s="319">
        <f>SUM(CL181:CL197)</f>
        <v>34000</v>
      </c>
      <c r="CM203" s="122">
        <f>SUM(CM181:CM197)</f>
        <v>1126938.8900000001</v>
      </c>
      <c r="CO203" s="122">
        <f>SUM(CO181:CO197)</f>
        <v>65500</v>
      </c>
      <c r="CP203" s="122">
        <f>SUM(CP181:CP197)</f>
        <v>1192438.8900000001</v>
      </c>
      <c r="CR203" s="122">
        <f>SUM(CR181:CR197)</f>
        <v>0</v>
      </c>
      <c r="CS203" s="122">
        <f>SUM(CS181:CS197)</f>
        <v>1192438.8900000001</v>
      </c>
      <c r="CU203" s="122">
        <f>SUM(CU181:CU197)</f>
        <v>-235100</v>
      </c>
      <c r="CV203" s="122">
        <f>SUM(CV181:CV197)</f>
        <v>957338.89</v>
      </c>
      <c r="CX203" s="122">
        <f>SUM(CX181:CX197)</f>
        <v>0</v>
      </c>
      <c r="CY203" s="122">
        <f>SUM(CY181:CY197)</f>
        <v>957338.89</v>
      </c>
      <c r="DA203" s="122">
        <f>SUM(DA181:DA197)</f>
        <v>951632.21</v>
      </c>
      <c r="DC203" s="122">
        <f>SUM(DC181:DC197)</f>
        <v>1022848</v>
      </c>
      <c r="DE203" s="122">
        <f>SUM(DE181:DE197)</f>
        <v>0</v>
      </c>
      <c r="DF203" s="122">
        <f>SUM(DF181:DF197)</f>
        <v>1022848</v>
      </c>
      <c r="DH203" s="122">
        <f>SUM(DH181:DH197)</f>
        <v>0</v>
      </c>
      <c r="DI203" s="122">
        <f>SUM(DI181:DI197)</f>
        <v>1022848</v>
      </c>
      <c r="DK203" s="122">
        <f>SUM(DK181:DK197)</f>
        <v>0</v>
      </c>
      <c r="DL203" s="122">
        <f>SUM(DL181:DL197)</f>
        <v>1022848</v>
      </c>
      <c r="DN203" s="122">
        <f>SUM(DN181:DN197)</f>
        <v>0</v>
      </c>
      <c r="DO203" s="122">
        <f>SUM(DO181:DO197)</f>
        <v>1022848</v>
      </c>
      <c r="DQ203" s="122">
        <f>SUM(DQ181:DQ197)</f>
        <v>72000</v>
      </c>
      <c r="DR203" s="122">
        <f>SUM(DR181:DR197)</f>
        <v>1094848</v>
      </c>
      <c r="DT203" s="122">
        <f>SUM(DT181:DT197)</f>
        <v>0</v>
      </c>
      <c r="DU203" s="122">
        <f>SUM(DU181:DU197)</f>
        <v>1094848</v>
      </c>
      <c r="DW203" s="122">
        <f>SUM(DW181:DW197)</f>
        <v>0</v>
      </c>
      <c r="DX203" s="122">
        <f>SUM(DX181:DX197)</f>
        <v>1094848</v>
      </c>
      <c r="DZ203" s="122">
        <f>SUM(DZ181:DZ197)</f>
        <v>0</v>
      </c>
      <c r="EA203" s="122">
        <f>SUM(EA181:EA197)</f>
        <v>1094848</v>
      </c>
      <c r="EC203" s="122">
        <f>SUM(EC181:EC197)</f>
        <v>207700</v>
      </c>
      <c r="ED203" s="122">
        <f>SUM(ED181:ED197)</f>
        <v>1302548</v>
      </c>
      <c r="EF203" s="122">
        <f>SUM(EF181:EF197)</f>
        <v>-51700</v>
      </c>
      <c r="EG203" s="122">
        <f>SUM(EG181:EG197)</f>
        <v>1250848</v>
      </c>
      <c r="EI203" s="122">
        <f>SUM(EI181:EI197)</f>
        <v>1227639.4000000001</v>
      </c>
      <c r="EK203" s="122">
        <f>SUM(EK181:EK197)</f>
        <v>1042000</v>
      </c>
      <c r="EL203" s="377">
        <f>EK203/EI203-1</f>
        <v>-0.15121655430739689</v>
      </c>
      <c r="EM203" s="122">
        <f>SUM(EM181:EM197)</f>
        <v>0</v>
      </c>
      <c r="EN203" s="122">
        <f>SUM(EN181:EN197)</f>
        <v>1042000</v>
      </c>
      <c r="EP203" s="122">
        <f>SUM(EP181:EP197)</f>
        <v>129000</v>
      </c>
      <c r="EQ203" s="122">
        <f>SUM(EQ181:EQ197)</f>
        <v>1171000</v>
      </c>
      <c r="ES203" s="122">
        <f>SUM(ES181:ES197)</f>
        <v>0</v>
      </c>
      <c r="ET203" s="122">
        <f>SUM(ET181:ET197)</f>
        <v>1171000</v>
      </c>
      <c r="EV203" s="122">
        <f>SUM(EV181:EV197)</f>
        <v>-20264</v>
      </c>
      <c r="EW203" s="122">
        <f>SUM(EW181:EW197)</f>
        <v>1150736</v>
      </c>
      <c r="EY203" s="122">
        <f>SUM(EY181:EY197)</f>
        <v>0</v>
      </c>
      <c r="EZ203" s="122">
        <f>SUM(EZ181:EZ197)</f>
        <v>1150736</v>
      </c>
      <c r="FB203" s="122">
        <f>SUM(FB181:FB197)</f>
        <v>-60000</v>
      </c>
      <c r="FC203" s="122">
        <f>SUM(FC181:FC197)</f>
        <v>1090736</v>
      </c>
      <c r="FE203" s="122">
        <f>SUM(FE181:FE197)</f>
        <v>0</v>
      </c>
      <c r="FF203" s="122">
        <f>SUM(FF181:FF197)</f>
        <v>1090736</v>
      </c>
      <c r="FH203" s="122">
        <f>SUM(FH181:FH197)</f>
        <v>0</v>
      </c>
      <c r="FI203" s="122">
        <f>SUM(FI181:FI197)</f>
        <v>1090736</v>
      </c>
      <c r="FK203" s="122">
        <f>SUM(FK181:FK197)</f>
        <v>-4000</v>
      </c>
      <c r="FL203" s="122">
        <f>SUM(FL181:FL197)</f>
        <v>1086736</v>
      </c>
      <c r="FN203" s="122">
        <f>SUM(FN181:FN197)</f>
        <v>3200</v>
      </c>
      <c r="FO203" s="122">
        <f>SUM(FO181:FO197)</f>
        <v>1089936</v>
      </c>
      <c r="FQ203" s="122">
        <v>-2940</v>
      </c>
      <c r="FR203" s="122">
        <v>1086996</v>
      </c>
      <c r="FT203" s="122">
        <f>SUM(FT181:FT197)</f>
        <v>997166.33</v>
      </c>
      <c r="FV203" s="122">
        <f>SUM(FV181:FV197)</f>
        <v>1040500</v>
      </c>
      <c r="FW203" s="235">
        <f t="shared" ref="FW203:FW206" si="969">FV203/FT203</f>
        <v>1.0434568122652117</v>
      </c>
      <c r="FY203" s="122">
        <f>SUM(FY181:FY197)</f>
        <v>0</v>
      </c>
      <c r="FZ203" s="122">
        <f>SUM(FZ181:FZ197)</f>
        <v>1040500</v>
      </c>
      <c r="GB203" s="122">
        <f>SUM(GB181:GB197)</f>
        <v>0</v>
      </c>
      <c r="GC203" s="122">
        <f>SUM(GC181:GC197)</f>
        <v>1040500</v>
      </c>
      <c r="GE203" s="122">
        <f>SUM(GE181:GE197)</f>
        <v>148000</v>
      </c>
      <c r="GF203" s="122">
        <f>SUM(GF181:GF197)</f>
        <v>1188500</v>
      </c>
      <c r="GH203" s="122">
        <f>SUM(GH181:GH197)</f>
        <v>0</v>
      </c>
      <c r="GI203" s="122">
        <f>SUM(GI181:GI197)</f>
        <v>1188500</v>
      </c>
      <c r="GK203" s="122">
        <f>SUM(GK181:GK197)</f>
        <v>0</v>
      </c>
      <c r="GL203" s="122">
        <f>SUM(GL181:GL197)</f>
        <v>1188500</v>
      </c>
      <c r="GN203" s="122">
        <f>SUM(GN181:GN197)</f>
        <v>0</v>
      </c>
      <c r="GO203" s="122">
        <f>SUM(GO181:GO197)</f>
        <v>1188500</v>
      </c>
      <c r="GQ203" s="122">
        <f>SUM(GQ181:GQ197)</f>
        <v>-91000</v>
      </c>
      <c r="GR203" s="122">
        <f>SUM(GR181:GR197)</f>
        <v>1097500</v>
      </c>
      <c r="GT203" s="122">
        <f>SUM(GT181:GT197)</f>
        <v>0</v>
      </c>
      <c r="GU203" s="122">
        <f>SUM(GU181:GU197)</f>
        <v>1097500</v>
      </c>
      <c r="GW203" s="122">
        <f>SUM(GW181:GW197)</f>
        <v>0</v>
      </c>
      <c r="GX203" s="122">
        <f>SUM(GX181:GX197)</f>
        <v>1097500</v>
      </c>
      <c r="GZ203" s="122">
        <f>SUM(GZ181:GZ197)</f>
        <v>0</v>
      </c>
      <c r="HA203" s="430">
        <f>SUM(HA181:HA197)</f>
        <v>1097500</v>
      </c>
      <c r="HC203" s="122">
        <f>SUM(HC181:HC197)</f>
        <v>920821.54999999993</v>
      </c>
      <c r="HE203" s="122">
        <f>SUM(HE181:HE197)</f>
        <v>1097000</v>
      </c>
      <c r="HF203" s="235">
        <f>HE203/HC203</f>
        <v>1.1913274618735845</v>
      </c>
    </row>
    <row r="204" spans="1:214" ht="15.75" customHeight="1" thickTop="1" thickBot="1">
      <c r="A204" s="64" t="s">
        <v>71</v>
      </c>
      <c r="B204" s="65" t="s">
        <v>357</v>
      </c>
      <c r="C204" s="284" t="s">
        <v>343</v>
      </c>
      <c r="D204" s="66">
        <f>D194</f>
        <v>40000</v>
      </c>
      <c r="E204" s="67"/>
      <c r="F204" s="66">
        <f>F194</f>
        <v>40000</v>
      </c>
      <c r="G204" s="67"/>
      <c r="H204" s="66"/>
      <c r="I204" s="66">
        <f>I194</f>
        <v>35000</v>
      </c>
      <c r="J204" s="68"/>
      <c r="K204" s="69"/>
      <c r="L204" s="123">
        <f>L194</f>
        <v>38000</v>
      </c>
      <c r="M204" s="70">
        <f t="shared" si="960"/>
        <v>-5.0000000000000044E-2</v>
      </c>
      <c r="N204" s="70">
        <f t="shared" si="961"/>
        <v>8.5714285714285632E-2</v>
      </c>
      <c r="Q204" s="123">
        <f>Q194</f>
        <v>43400</v>
      </c>
      <c r="R204" s="123">
        <f>R194</f>
        <v>43363</v>
      </c>
      <c r="S204" s="123">
        <f>S194</f>
        <v>55000</v>
      </c>
      <c r="T204" s="123">
        <f>T194</f>
        <v>11600</v>
      </c>
      <c r="U204" s="155">
        <f>S204/Q204-1</f>
        <v>0.26728110599078336</v>
      </c>
      <c r="Y204" s="123">
        <f>Y194</f>
        <v>55000</v>
      </c>
      <c r="AA204" s="123">
        <f>AA194</f>
        <v>70000</v>
      </c>
      <c r="AB204" s="123">
        <f>AB194</f>
        <v>15000</v>
      </c>
      <c r="AE204" s="123">
        <f>AE194</f>
        <v>70000</v>
      </c>
      <c r="AF204" s="182"/>
      <c r="AH204" s="123">
        <f>AH194</f>
        <v>62672.5</v>
      </c>
      <c r="AI204" s="17">
        <f t="shared" si="962"/>
        <v>0.8953214285714286</v>
      </c>
      <c r="AK204" s="123">
        <f>AK194</f>
        <v>75000</v>
      </c>
      <c r="AL204" s="193">
        <f t="shared" si="963"/>
        <v>1.9736842105263157</v>
      </c>
      <c r="AM204" s="17">
        <f t="shared" si="964"/>
        <v>1.0714285714285714</v>
      </c>
      <c r="AN204" s="17">
        <f t="shared" si="965"/>
        <v>1.1966971159599504</v>
      </c>
      <c r="AS204" s="123">
        <f>AS194</f>
        <v>75000</v>
      </c>
      <c r="AU204" s="123">
        <f>AU194</f>
        <v>0</v>
      </c>
      <c r="AV204" s="123">
        <f>AV194</f>
        <v>75000</v>
      </c>
      <c r="AX204" s="123">
        <f>AX194</f>
        <v>0</v>
      </c>
      <c r="AY204" s="123">
        <f>AY194</f>
        <v>75000</v>
      </c>
      <c r="BA204" s="123">
        <f>BA194</f>
        <v>0</v>
      </c>
      <c r="BB204" s="123">
        <f>BB194</f>
        <v>75000</v>
      </c>
      <c r="BD204" s="123">
        <f>BD194</f>
        <v>15000</v>
      </c>
      <c r="BE204" s="123">
        <f>BE194</f>
        <v>90000</v>
      </c>
      <c r="BG204" s="123">
        <f>BG194</f>
        <v>0</v>
      </c>
      <c r="BH204" s="123">
        <f>BH194</f>
        <v>90000</v>
      </c>
      <c r="BJ204" s="123">
        <f>BJ194</f>
        <v>89299.44</v>
      </c>
      <c r="BK204" s="236">
        <f t="shared" si="966"/>
        <v>0.99221599999999999</v>
      </c>
      <c r="BM204" s="123">
        <f>BM194</f>
        <v>70000</v>
      </c>
      <c r="BN204" s="236">
        <f t="shared" si="967"/>
        <v>0.78387949577287386</v>
      </c>
      <c r="BO204" s="236">
        <f t="shared" si="968"/>
        <v>0.77777777777777779</v>
      </c>
      <c r="BQ204" s="123">
        <f>BQ194</f>
        <v>0</v>
      </c>
      <c r="BR204" s="123">
        <f>BR194</f>
        <v>70000</v>
      </c>
      <c r="BT204" s="123">
        <f>BT194</f>
        <v>0</v>
      </c>
      <c r="BU204" s="123">
        <f>BU194</f>
        <v>70000</v>
      </c>
      <c r="BW204" s="123">
        <f>BW194</f>
        <v>0</v>
      </c>
      <c r="BX204" s="123">
        <f>BX194</f>
        <v>70000</v>
      </c>
      <c r="BZ204" s="123">
        <f>BZ194</f>
        <v>0</v>
      </c>
      <c r="CA204" s="123">
        <f>CA194</f>
        <v>70000</v>
      </c>
      <c r="CC204" s="123">
        <f>CC194</f>
        <v>0</v>
      </c>
      <c r="CD204" s="123">
        <f>CD194</f>
        <v>70000</v>
      </c>
      <c r="CF204" s="123">
        <f>CF194</f>
        <v>0</v>
      </c>
      <c r="CG204" s="123">
        <f>CG194</f>
        <v>70000</v>
      </c>
      <c r="CI204" s="123">
        <f>CI194</f>
        <v>-22000</v>
      </c>
      <c r="CJ204" s="123">
        <f>CJ194</f>
        <v>48000</v>
      </c>
      <c r="CL204" s="319">
        <f>CL194</f>
        <v>0</v>
      </c>
      <c r="CM204" s="123">
        <f>CM194</f>
        <v>48000</v>
      </c>
      <c r="CO204" s="123">
        <f>CO194</f>
        <v>0</v>
      </c>
      <c r="CP204" s="123">
        <f>CP194</f>
        <v>48000</v>
      </c>
      <c r="CR204" s="123">
        <f>CR194</f>
        <v>0</v>
      </c>
      <c r="CS204" s="123">
        <f>CS194</f>
        <v>48000</v>
      </c>
      <c r="CU204" s="123">
        <f>CU194</f>
        <v>5000</v>
      </c>
      <c r="CV204" s="123">
        <f>CV194</f>
        <v>53000</v>
      </c>
      <c r="CX204" s="123">
        <f>CX194</f>
        <v>0</v>
      </c>
      <c r="CY204" s="123">
        <f>CY194</f>
        <v>53000</v>
      </c>
      <c r="DA204" s="123">
        <f>DA194</f>
        <v>52726</v>
      </c>
      <c r="DC204" s="123">
        <f>DC194</f>
        <v>75048</v>
      </c>
      <c r="DE204" s="123">
        <f>DE194</f>
        <v>0</v>
      </c>
      <c r="DF204" s="123">
        <f>DF194</f>
        <v>75048</v>
      </c>
      <c r="DH204" s="123">
        <f>DH194</f>
        <v>0</v>
      </c>
      <c r="DI204" s="123">
        <f>DI194</f>
        <v>75048</v>
      </c>
      <c r="DK204" s="123">
        <f>DK194</f>
        <v>0</v>
      </c>
      <c r="DL204" s="123">
        <f>DL194</f>
        <v>75048</v>
      </c>
      <c r="DN204" s="123">
        <f>DN194</f>
        <v>0</v>
      </c>
      <c r="DO204" s="123">
        <f>DO194</f>
        <v>75048</v>
      </c>
      <c r="DQ204" s="123">
        <f>DQ194</f>
        <v>0</v>
      </c>
      <c r="DR204" s="123">
        <f>DR194</f>
        <v>75048</v>
      </c>
      <c r="DT204" s="123">
        <f>DT194</f>
        <v>0</v>
      </c>
      <c r="DU204" s="123">
        <f>DU194</f>
        <v>75048</v>
      </c>
      <c r="DW204" s="123">
        <f>DW194</f>
        <v>0</v>
      </c>
      <c r="DX204" s="123">
        <f>DX194</f>
        <v>75048</v>
      </c>
      <c r="DZ204" s="123">
        <f>DZ194</f>
        <v>0</v>
      </c>
      <c r="EA204" s="123">
        <f>EA194</f>
        <v>75048</v>
      </c>
      <c r="EC204" s="123">
        <f>EC194</f>
        <v>0</v>
      </c>
      <c r="ED204" s="123">
        <f>ED194</f>
        <v>75048</v>
      </c>
      <c r="EF204" s="123">
        <f>EF194</f>
        <v>-15000</v>
      </c>
      <c r="EG204" s="123">
        <f>EG194</f>
        <v>60048</v>
      </c>
      <c r="EI204" s="123">
        <f>EI194</f>
        <v>58728.52</v>
      </c>
      <c r="EK204" s="123">
        <f>EK194</f>
        <v>160000</v>
      </c>
      <c r="EL204" s="377">
        <f>EK204/EI204-1</f>
        <v>1.7244003424571233</v>
      </c>
      <c r="EM204" s="123">
        <f>EM194</f>
        <v>0</v>
      </c>
      <c r="EN204" s="123">
        <f>EN194</f>
        <v>160000</v>
      </c>
      <c r="EP204" s="123">
        <f>EP194</f>
        <v>0</v>
      </c>
      <c r="EQ204" s="123">
        <f>EQ194</f>
        <v>160000</v>
      </c>
      <c r="ES204" s="123">
        <f>ES194</f>
        <v>0</v>
      </c>
      <c r="ET204" s="123">
        <f>ET194</f>
        <v>160000</v>
      </c>
      <c r="EV204" s="123">
        <f>EV194</f>
        <v>0</v>
      </c>
      <c r="EW204" s="123">
        <f>EW194</f>
        <v>160000</v>
      </c>
      <c r="EY204" s="123">
        <f>EY194</f>
        <v>0</v>
      </c>
      <c r="EZ204" s="123">
        <f>EZ194</f>
        <v>160000</v>
      </c>
      <c r="FB204" s="123">
        <f>FB194</f>
        <v>-60000</v>
      </c>
      <c r="FC204" s="123">
        <f>FC194</f>
        <v>100000</v>
      </c>
      <c r="FE204" s="123">
        <f>FE194</f>
        <v>0</v>
      </c>
      <c r="FF204" s="123">
        <f>FF194</f>
        <v>100000</v>
      </c>
      <c r="FH204" s="123">
        <f>FH194</f>
        <v>0</v>
      </c>
      <c r="FI204" s="123">
        <f>FI194</f>
        <v>100000</v>
      </c>
      <c r="FK204" s="123">
        <f>FK194</f>
        <v>-30000</v>
      </c>
      <c r="FL204" s="123">
        <f>FL194</f>
        <v>70000</v>
      </c>
      <c r="FN204" s="123">
        <f>FN194</f>
        <v>-12800</v>
      </c>
      <c r="FO204" s="123">
        <f>FO194</f>
        <v>57200</v>
      </c>
      <c r="FQ204" s="123">
        <v>0</v>
      </c>
      <c r="FR204" s="123">
        <v>57200</v>
      </c>
      <c r="FT204" s="123">
        <f>FT194</f>
        <v>42750.59</v>
      </c>
      <c r="FV204" s="123">
        <f>FV194</f>
        <v>50000</v>
      </c>
      <c r="FW204" s="235">
        <f t="shared" si="969"/>
        <v>1.169574501778806</v>
      </c>
      <c r="FY204" s="123">
        <f>FY194</f>
        <v>0</v>
      </c>
      <c r="FZ204" s="123">
        <f>FZ194</f>
        <v>50000</v>
      </c>
      <c r="GB204" s="123">
        <f>GB194</f>
        <v>0</v>
      </c>
      <c r="GC204" s="123">
        <f>GC194</f>
        <v>50000</v>
      </c>
      <c r="GE204" s="123">
        <f>GE194</f>
        <v>0</v>
      </c>
      <c r="GF204" s="123">
        <f>GF194</f>
        <v>50000</v>
      </c>
      <c r="GH204" s="123">
        <f>GH194</f>
        <v>0</v>
      </c>
      <c r="GI204" s="123">
        <f>GI194</f>
        <v>50000</v>
      </c>
      <c r="GK204" s="123">
        <f>GK194</f>
        <v>0</v>
      </c>
      <c r="GL204" s="123">
        <f>GL194</f>
        <v>50000</v>
      </c>
      <c r="GN204" s="123">
        <f>GN194</f>
        <v>0</v>
      </c>
      <c r="GO204" s="123">
        <f>GO194</f>
        <v>50000</v>
      </c>
      <c r="GQ204" s="123">
        <f>GQ194</f>
        <v>0</v>
      </c>
      <c r="GR204" s="123">
        <f>GR194</f>
        <v>50000</v>
      </c>
      <c r="GT204" s="123">
        <f>GT194</f>
        <v>0</v>
      </c>
      <c r="GU204" s="123">
        <f>GU194</f>
        <v>50000</v>
      </c>
      <c r="GW204" s="123">
        <f>GW194</f>
        <v>0</v>
      </c>
      <c r="GX204" s="123">
        <f>GX194</f>
        <v>50000</v>
      </c>
      <c r="GZ204" s="123">
        <f>GZ194</f>
        <v>0</v>
      </c>
      <c r="HA204" s="431">
        <f>HA194</f>
        <v>50000</v>
      </c>
      <c r="HC204" s="123">
        <f>HC194</f>
        <v>20481</v>
      </c>
      <c r="HE204" s="123">
        <f>HE194</f>
        <v>40000</v>
      </c>
      <c r="HF204" s="235">
        <f>HE204/HC204</f>
        <v>1.9530296372247449</v>
      </c>
    </row>
    <row r="205" spans="1:214" ht="15" customHeight="1" thickTop="1" thickBot="1">
      <c r="A205" s="75" t="s">
        <v>71</v>
      </c>
      <c r="B205" s="76" t="s">
        <v>277</v>
      </c>
      <c r="C205" s="285" t="s">
        <v>344</v>
      </c>
      <c r="D205" s="78">
        <f>D198</f>
        <v>0</v>
      </c>
      <c r="E205" s="79"/>
      <c r="F205" s="78">
        <f>F198</f>
        <v>200000</v>
      </c>
      <c r="G205" s="79"/>
      <c r="H205" s="78"/>
      <c r="I205" s="78">
        <f>I198</f>
        <v>193048</v>
      </c>
      <c r="J205" s="80"/>
      <c r="K205" s="77"/>
      <c r="L205" s="124">
        <f>L198</f>
        <v>0</v>
      </c>
      <c r="M205" s="81">
        <f t="shared" si="960"/>
        <v>-1</v>
      </c>
      <c r="N205" s="81">
        <f t="shared" si="961"/>
        <v>-1</v>
      </c>
      <c r="Q205" s="124">
        <f>Q198</f>
        <v>55000</v>
      </c>
      <c r="R205" s="124">
        <f>R198</f>
        <v>51375</v>
      </c>
      <c r="S205" s="124">
        <f>S198</f>
        <v>51500</v>
      </c>
      <c r="T205" s="124">
        <f>T198</f>
        <v>-3500</v>
      </c>
      <c r="U205" s="156">
        <f>S205/Q205-1</f>
        <v>-6.3636363636363602E-2</v>
      </c>
      <c r="Y205" s="124">
        <f>Y198</f>
        <v>51500</v>
      </c>
      <c r="AA205" s="124">
        <f>AA198</f>
        <v>51400</v>
      </c>
      <c r="AB205" s="124">
        <f>AB198</f>
        <v>-100</v>
      </c>
      <c r="AE205" s="124">
        <f>AE198</f>
        <v>51400</v>
      </c>
      <c r="AF205" s="182"/>
      <c r="AH205" s="124">
        <f>AH198</f>
        <v>51375</v>
      </c>
      <c r="AI205" s="17">
        <f t="shared" si="962"/>
        <v>0.9995136186770428</v>
      </c>
      <c r="AK205" s="124">
        <f>AK198</f>
        <v>72000</v>
      </c>
      <c r="AL205" s="193" t="e">
        <f t="shared" si="963"/>
        <v>#DIV/0!</v>
      </c>
      <c r="AM205" s="17">
        <f t="shared" si="964"/>
        <v>1.4007782101167314</v>
      </c>
      <c r="AN205" s="17">
        <f t="shared" si="965"/>
        <v>1.4014598540145986</v>
      </c>
      <c r="AS205" s="124">
        <f>AS198</f>
        <v>72000</v>
      </c>
      <c r="AU205" s="124">
        <f>AU198</f>
        <v>0</v>
      </c>
      <c r="AV205" s="124">
        <f>AV198</f>
        <v>72000</v>
      </c>
      <c r="AX205" s="124">
        <f>AX198</f>
        <v>0</v>
      </c>
      <c r="AY205" s="124">
        <f>AY198</f>
        <v>72000</v>
      </c>
      <c r="BA205" s="124">
        <f>BA198</f>
        <v>0</v>
      </c>
      <c r="BB205" s="124">
        <f>BB198</f>
        <v>72000</v>
      </c>
      <c r="BD205" s="124">
        <f>BD198</f>
        <v>-22000</v>
      </c>
      <c r="BE205" s="124">
        <f>BE198</f>
        <v>50000</v>
      </c>
      <c r="BG205" s="124">
        <f>BG198</f>
        <v>-2500</v>
      </c>
      <c r="BH205" s="124">
        <f>BH198</f>
        <v>47500</v>
      </c>
      <c r="BJ205" s="124">
        <f>BJ198</f>
        <v>47069</v>
      </c>
      <c r="BK205" s="237">
        <f t="shared" si="966"/>
        <v>0.99092631578947366</v>
      </c>
      <c r="BM205" s="124">
        <f>BM198</f>
        <v>1625400</v>
      </c>
      <c r="BN205" s="237">
        <f t="shared" si="967"/>
        <v>34.532282393932313</v>
      </c>
      <c r="BO205" s="237">
        <f t="shared" si="968"/>
        <v>34.218947368421055</v>
      </c>
      <c r="BQ205" s="124">
        <f>BQ198</f>
        <v>0</v>
      </c>
      <c r="BR205" s="124">
        <f>BR198</f>
        <v>1625400</v>
      </c>
      <c r="BT205" s="124">
        <f>BT198</f>
        <v>0</v>
      </c>
      <c r="BU205" s="124">
        <f>BU198</f>
        <v>1625400</v>
      </c>
      <c r="BW205" s="124">
        <f>BW198</f>
        <v>60000</v>
      </c>
      <c r="BX205" s="124">
        <f>BX198</f>
        <v>1685400</v>
      </c>
      <c r="BZ205" s="124">
        <f>BZ198</f>
        <v>0</v>
      </c>
      <c r="CA205" s="124">
        <f>CA198</f>
        <v>1685400</v>
      </c>
      <c r="CC205" s="124">
        <f>CC198</f>
        <v>0</v>
      </c>
      <c r="CD205" s="124">
        <f>CD198</f>
        <v>1685400</v>
      </c>
      <c r="CF205" s="124">
        <f>CF198+CF199</f>
        <v>0</v>
      </c>
      <c r="CG205" s="124">
        <f>CG198+CG199</f>
        <v>1685400</v>
      </c>
      <c r="CI205" s="124">
        <f>CI198+CI199</f>
        <v>0</v>
      </c>
      <c r="CJ205" s="124">
        <f>CJ198+CJ199</f>
        <v>1685400</v>
      </c>
      <c r="CL205" s="319">
        <f>CL198+CL199</f>
        <v>1000</v>
      </c>
      <c r="CM205" s="124">
        <f>CM198+CM199</f>
        <v>1686400</v>
      </c>
      <c r="CO205" s="124">
        <f>CO198+CO199</f>
        <v>0</v>
      </c>
      <c r="CP205" s="124">
        <f>CP198+CP199</f>
        <v>1686400</v>
      </c>
      <c r="CR205" s="124">
        <f>CR198+CR199+CR200</f>
        <v>242000</v>
      </c>
      <c r="CS205" s="124">
        <f>CS198+CS199+CS200</f>
        <v>1928400</v>
      </c>
      <c r="CU205" s="124">
        <f>CU198+CU199+CU200</f>
        <v>119100</v>
      </c>
      <c r="CV205" s="124">
        <f>CV198+CV199+CV200</f>
        <v>2047500</v>
      </c>
      <c r="CX205" s="124">
        <f>CX198+CX199+CX200</f>
        <v>0</v>
      </c>
      <c r="CY205" s="124">
        <f>CY198+CY199+CY200</f>
        <v>2047500</v>
      </c>
      <c r="DA205" s="124">
        <f>DA198+DA199+DA200</f>
        <v>2046522</v>
      </c>
      <c r="DC205" s="124">
        <f>DC198+DC199+DC200</f>
        <v>161700</v>
      </c>
      <c r="DE205" s="124">
        <f>DE198+DE199+DE200</f>
        <v>0</v>
      </c>
      <c r="DF205" s="124">
        <f>DF198+DF199+DF200</f>
        <v>161700</v>
      </c>
      <c r="DH205" s="124">
        <f>DH198+DH199+DH200</f>
        <v>0</v>
      </c>
      <c r="DI205" s="124">
        <f>DI198+DI199+DI200</f>
        <v>161700</v>
      </c>
      <c r="DK205" s="124">
        <f>DK198+DK199+DK200</f>
        <v>0</v>
      </c>
      <c r="DL205" s="124">
        <f>DL198+DL199+DL200</f>
        <v>161700</v>
      </c>
      <c r="DN205" s="124">
        <f>DN198+DN199+DN200</f>
        <v>0</v>
      </c>
      <c r="DO205" s="124">
        <f>DO198+DO199+DO200</f>
        <v>161700</v>
      </c>
      <c r="DQ205" s="124">
        <f>DQ198+DQ199+DQ200</f>
        <v>63900</v>
      </c>
      <c r="DR205" s="124">
        <f>DR198+DR199+DR200</f>
        <v>225600</v>
      </c>
      <c r="DT205" s="124">
        <f>DT198+DT199+DT200</f>
        <v>0</v>
      </c>
      <c r="DU205" s="124">
        <f>DU198+DU199+DU200</f>
        <v>225600</v>
      </c>
      <c r="DW205" s="124">
        <f>DW198+DW199+DW200</f>
        <v>0</v>
      </c>
      <c r="DX205" s="124">
        <f>DX198+DX199+DX200</f>
        <v>225600</v>
      </c>
      <c r="DZ205" s="124">
        <f>DZ198+DZ199+DZ200</f>
        <v>0</v>
      </c>
      <c r="EA205" s="124">
        <f>EA198+EA199+EA200</f>
        <v>225600</v>
      </c>
      <c r="EC205" s="124">
        <f>EC198+EC199+EC200</f>
        <v>-100000</v>
      </c>
      <c r="ED205" s="124">
        <f>ED198+ED199+ED200</f>
        <v>125600</v>
      </c>
      <c r="EF205" s="124">
        <f>EF198+EF199+EF200</f>
        <v>0</v>
      </c>
      <c r="EG205" s="124">
        <f>EG198+EG199+EG200</f>
        <v>125600</v>
      </c>
      <c r="EI205" s="124">
        <f>EI198+EI199+EI200</f>
        <v>125530</v>
      </c>
      <c r="EK205" s="124">
        <f>EK198+EK199+EK200</f>
        <v>423500</v>
      </c>
      <c r="EL205" s="377">
        <f>EK205/EI205-1</f>
        <v>2.3736955309487771</v>
      </c>
      <c r="EM205" s="124">
        <f>EM198+EM199+EM200</f>
        <v>0</v>
      </c>
      <c r="EN205" s="124">
        <f>EN198+EN199+EN200</f>
        <v>423500</v>
      </c>
      <c r="EP205" s="124">
        <f>EP198+EP199+EP200</f>
        <v>0</v>
      </c>
      <c r="EQ205" s="124">
        <f>EQ198+EQ199+EQ200</f>
        <v>423500</v>
      </c>
      <c r="ES205" s="124">
        <f>ES198+ES199+ES200</f>
        <v>0</v>
      </c>
      <c r="ET205" s="124">
        <f>ET198+ET199+ET200</f>
        <v>423500</v>
      </c>
      <c r="EV205" s="124">
        <f>EV198+EV199+EV200</f>
        <v>0</v>
      </c>
      <c r="EW205" s="124">
        <f>EW198+EW199+EW200</f>
        <v>423500</v>
      </c>
      <c r="EY205" s="124">
        <f>EY198+EY199+EY200</f>
        <v>0</v>
      </c>
      <c r="EZ205" s="124">
        <f>EZ198+EZ199+EZ200</f>
        <v>423500</v>
      </c>
      <c r="FB205" s="124">
        <f>FB198+FB199+FB200</f>
        <v>0</v>
      </c>
      <c r="FC205" s="124">
        <f>FC198+FC199+FC200</f>
        <v>423500</v>
      </c>
      <c r="FE205" s="124">
        <f>FE198+FE199+FE200</f>
        <v>0</v>
      </c>
      <c r="FF205" s="124">
        <f>FF198+FF199+FF200</f>
        <v>423500</v>
      </c>
      <c r="FH205" s="124">
        <f>FH198+FH199+FH200</f>
        <v>0</v>
      </c>
      <c r="FI205" s="124">
        <f>FI198+FI199+FI200</f>
        <v>423500</v>
      </c>
      <c r="FK205" s="124">
        <f>FK198+FK199+FK200</f>
        <v>0</v>
      </c>
      <c r="FL205" s="124">
        <f>FL198+FL199+FL200</f>
        <v>423500</v>
      </c>
      <c r="FN205" s="124">
        <f>FN198+FN199+FN200</f>
        <v>0</v>
      </c>
      <c r="FO205" s="124">
        <f>FO198+FO199+FO200</f>
        <v>423500</v>
      </c>
      <c r="FQ205" s="124">
        <v>0</v>
      </c>
      <c r="FR205" s="124">
        <v>423500</v>
      </c>
      <c r="FT205" s="124">
        <f>FT198+FT199+FT200</f>
        <v>423500</v>
      </c>
      <c r="FV205" s="124">
        <f>FV198+FV199+FV200</f>
        <v>0</v>
      </c>
      <c r="FW205" s="235">
        <f t="shared" si="969"/>
        <v>0</v>
      </c>
      <c r="FY205" s="124">
        <f>FY198+FY199+FY200</f>
        <v>0</v>
      </c>
      <c r="FZ205" s="124">
        <f>FZ198+FZ199+FZ200</f>
        <v>0</v>
      </c>
      <c r="GB205" s="124">
        <f>GB198+GB199+GB200</f>
        <v>0</v>
      </c>
      <c r="GC205" s="124">
        <f>GC198+GC199+GC200</f>
        <v>0</v>
      </c>
      <c r="GE205" s="124">
        <f>GE198+GE199+GE200</f>
        <v>0</v>
      </c>
      <c r="GF205" s="124">
        <f>GF198+GF199+GF200</f>
        <v>0</v>
      </c>
      <c r="GH205" s="124">
        <f>GH198+GH199+GH200</f>
        <v>0</v>
      </c>
      <c r="GI205" s="124">
        <f>GI198+GI199+GI200</f>
        <v>0</v>
      </c>
      <c r="GK205" s="124">
        <f>GK198+GK199+GK200</f>
        <v>0</v>
      </c>
      <c r="GL205" s="124">
        <f>GL198+GL199+GL200</f>
        <v>0</v>
      </c>
      <c r="GN205" s="124">
        <f>GN198+GN199+GN200</f>
        <v>0</v>
      </c>
      <c r="GO205" s="124">
        <f>GO198+GO199+GO200</f>
        <v>0</v>
      </c>
      <c r="GQ205" s="124">
        <f>GQ198+GQ199+GQ200</f>
        <v>0</v>
      </c>
      <c r="GR205" s="124">
        <f>GR198+GR199+GR200</f>
        <v>0</v>
      </c>
      <c r="GT205" s="124">
        <f>GT198+GT199+GT200</f>
        <v>0</v>
      </c>
      <c r="GU205" s="124">
        <f>GU198+GU199+GU200</f>
        <v>0</v>
      </c>
      <c r="GW205" s="124">
        <f>GW198+GW199+GW200</f>
        <v>0</v>
      </c>
      <c r="GX205" s="124">
        <f>GX198+GX199+GX200</f>
        <v>0</v>
      </c>
      <c r="GZ205" s="124">
        <f>GZ198+GZ199+GZ200</f>
        <v>0</v>
      </c>
      <c r="HA205" s="432">
        <f>HA198+HA199+HA200</f>
        <v>0</v>
      </c>
      <c r="HC205" s="124">
        <f>HC198+HC199+HC200</f>
        <v>0</v>
      </c>
      <c r="HE205" s="124">
        <f>HE198+HE199+HE200</f>
        <v>110110</v>
      </c>
      <c r="HF205" s="235" t="e">
        <f>HE205/HC205</f>
        <v>#DIV/0!</v>
      </c>
    </row>
    <row r="206" spans="1:214" ht="15.75" outlineLevel="1" thickTop="1">
      <c r="A206" s="13" t="s">
        <v>397</v>
      </c>
      <c r="B206" s="10" t="s">
        <v>398</v>
      </c>
      <c r="C206" s="4" t="s">
        <v>399</v>
      </c>
      <c r="D206" s="36"/>
      <c r="E206" s="51"/>
      <c r="F206" s="36"/>
      <c r="G206" s="51"/>
      <c r="H206" s="36"/>
      <c r="I206" s="36"/>
      <c r="J206" s="14"/>
      <c r="L206" s="121"/>
      <c r="M206" s="176"/>
      <c r="N206" s="176"/>
      <c r="Q206" s="118">
        <v>30000</v>
      </c>
      <c r="R206" s="15">
        <v>0</v>
      </c>
      <c r="S206" s="118">
        <v>8000</v>
      </c>
      <c r="T206" s="15">
        <f>S206-Q206</f>
        <v>-22000</v>
      </c>
      <c r="U206" s="177">
        <f>S206/Q206-1</f>
        <v>-0.73333333333333339</v>
      </c>
      <c r="V206"/>
      <c r="Y206" s="118">
        <v>5000</v>
      </c>
      <c r="Z206">
        <v>5000</v>
      </c>
      <c r="AA206" s="118">
        <v>0</v>
      </c>
      <c r="AB206" s="185">
        <f t="shared" ref="AB206:AB208" si="970">AA206-Y206</f>
        <v>-5000</v>
      </c>
      <c r="AC206" s="187">
        <f t="shared" ref="AC206:AC208" si="971">AA206-Y206</f>
        <v>-5000</v>
      </c>
      <c r="AD206" s="187"/>
      <c r="AE206" s="118">
        <v>0</v>
      </c>
      <c r="AF206" s="182"/>
      <c r="AH206" s="15"/>
      <c r="AK206" s="118">
        <v>30000</v>
      </c>
      <c r="AP206" s="220">
        <v>-20000</v>
      </c>
      <c r="AS206" s="15">
        <f t="shared" ref="AS206:AS208" si="972">AR206+AK206</f>
        <v>30000</v>
      </c>
      <c r="AV206" s="15">
        <f t="shared" ref="AV206:AV208" si="973">AS206+AU206</f>
        <v>30000</v>
      </c>
      <c r="AX206" s="15"/>
      <c r="AY206" s="15">
        <f t="shared" ref="AY206:AY208" si="974">AV206+AX206</f>
        <v>30000</v>
      </c>
      <c r="BB206" s="15">
        <f t="shared" ref="BB206:BB208" si="975">AY206+BA206</f>
        <v>30000</v>
      </c>
      <c r="BD206" s="15">
        <v>-20000</v>
      </c>
      <c r="BE206" s="15">
        <f t="shared" ref="BE206:BE208" si="976">BB206+BD206</f>
        <v>10000</v>
      </c>
      <c r="BG206" s="15"/>
      <c r="BH206" s="15">
        <f t="shared" ref="BH206:BH208" si="977">BE206+BG206</f>
        <v>10000</v>
      </c>
      <c r="BJ206" s="15">
        <v>0</v>
      </c>
      <c r="BK206" s="235">
        <f t="shared" ref="BK206:BK208" si="978">BJ206/BH206</f>
        <v>0</v>
      </c>
      <c r="BM206" s="15">
        <v>30000</v>
      </c>
      <c r="BN206" s="235" t="e">
        <f t="shared" ref="BN206:BN208" si="979">BM206/BJ206</f>
        <v>#DIV/0!</v>
      </c>
      <c r="BO206" s="235">
        <f>BM206/BH206</f>
        <v>3</v>
      </c>
      <c r="BQ206" s="15">
        <v>-10000</v>
      </c>
      <c r="BR206" s="15">
        <f t="shared" ref="BR206:BR208" si="980">BM206+BQ206</f>
        <v>20000</v>
      </c>
      <c r="BT206" s="15"/>
      <c r="BU206" s="15">
        <f>BR206+BT206</f>
        <v>20000</v>
      </c>
      <c r="BW206" s="15"/>
      <c r="BX206" s="15">
        <f>BU206+BW206</f>
        <v>20000</v>
      </c>
      <c r="BZ206" s="15"/>
      <c r="CA206" s="15">
        <f>BX206+BZ206</f>
        <v>20000</v>
      </c>
      <c r="CC206" s="15"/>
      <c r="CD206" s="15">
        <f>CA206+CC206</f>
        <v>20000</v>
      </c>
      <c r="CF206" s="15"/>
      <c r="CG206" s="15">
        <f>CD206+CF206</f>
        <v>20000</v>
      </c>
      <c r="CI206" s="15"/>
      <c r="CJ206" s="15">
        <f>CG206+CI206</f>
        <v>20000</v>
      </c>
      <c r="CM206" s="15">
        <f>CJ206+CL206</f>
        <v>20000</v>
      </c>
      <c r="CP206" s="15">
        <f>CM206+CO206</f>
        <v>20000</v>
      </c>
      <c r="CS206" s="15">
        <f>CP206+CR206</f>
        <v>20000</v>
      </c>
      <c r="CV206" s="15">
        <f>CS206+CU206</f>
        <v>20000</v>
      </c>
      <c r="CY206" s="15">
        <f>CV206+CX206</f>
        <v>20000</v>
      </c>
      <c r="DA206" s="15">
        <v>0</v>
      </c>
      <c r="DC206" s="15">
        <v>20000</v>
      </c>
      <c r="DE206" s="227">
        <v>-5000</v>
      </c>
      <c r="DF206" s="15">
        <f t="shared" ref="DF206:DF208" si="981">DC206+DE206</f>
        <v>15000</v>
      </c>
      <c r="DH206" s="15"/>
      <c r="DI206" s="15">
        <f t="shared" ref="DI206:DI208" si="982">DF206+DH206</f>
        <v>15000</v>
      </c>
      <c r="DK206" s="15"/>
      <c r="DL206" s="15">
        <f t="shared" ref="DL206:DL208" si="983">DI206+DK206</f>
        <v>15000</v>
      </c>
      <c r="DN206" s="15"/>
      <c r="DO206" s="15">
        <f t="shared" ref="DO206:DO208" si="984">DL206+DN206</f>
        <v>15000</v>
      </c>
      <c r="DQ206" s="15"/>
      <c r="DR206" s="15">
        <f t="shared" ref="DR206:DR208" si="985">DO206+DQ206</f>
        <v>15000</v>
      </c>
      <c r="DT206" s="15"/>
      <c r="DU206" s="15">
        <f t="shared" ref="DU206:DU208" si="986">DR206+DT206</f>
        <v>15000</v>
      </c>
      <c r="DW206" s="15"/>
      <c r="DX206" s="15">
        <f t="shared" ref="DX206:DX208" si="987">DU206+DW206</f>
        <v>15000</v>
      </c>
      <c r="DZ206" s="15"/>
      <c r="EA206" s="15">
        <f t="shared" ref="EA206:EA208" si="988">DX206+DZ206</f>
        <v>15000</v>
      </c>
      <c r="EC206" s="227">
        <v>-10000</v>
      </c>
      <c r="ED206" s="15">
        <f t="shared" ref="ED206:ED208" si="989">EA206+EC206</f>
        <v>5000</v>
      </c>
      <c r="EF206" s="227">
        <v>15000</v>
      </c>
      <c r="EG206" s="15">
        <f t="shared" ref="EG206:EG208" si="990">ED206+EF206</f>
        <v>20000</v>
      </c>
      <c r="EI206" s="15">
        <v>0</v>
      </c>
      <c r="EK206" s="15">
        <v>20000</v>
      </c>
      <c r="EM206" s="15"/>
      <c r="EN206" s="15">
        <f t="shared" ref="EN206:EN208" si="991">EK206+EM206</f>
        <v>20000</v>
      </c>
      <c r="EP206" s="15"/>
      <c r="EQ206" s="15">
        <f t="shared" ref="EQ206:EQ208" si="992">EN206+EP206</f>
        <v>20000</v>
      </c>
      <c r="ES206" s="15"/>
      <c r="ET206" s="15">
        <f t="shared" ref="ET206:ET208" si="993">EQ206+ES206</f>
        <v>20000</v>
      </c>
      <c r="EW206" s="15">
        <f t="shared" ref="EW206:EW208" si="994">ET206+EV206</f>
        <v>20000</v>
      </c>
      <c r="EZ206" s="15">
        <f t="shared" ref="EZ206:EZ208" si="995">EW206+EY206</f>
        <v>20000</v>
      </c>
      <c r="FC206" s="15">
        <f t="shared" ref="FC206:FC208" si="996">EZ206+FB206</f>
        <v>20000</v>
      </c>
      <c r="FF206" s="15">
        <f t="shared" ref="FF206:FF208" si="997">FC206+FE206</f>
        <v>20000</v>
      </c>
      <c r="FI206" s="15">
        <f t="shared" ref="FI206:FI208" si="998">FF206+FH206</f>
        <v>20000</v>
      </c>
      <c r="FL206" s="15">
        <f t="shared" ref="FL206:FL208" si="999">FI206+FK206</f>
        <v>20000</v>
      </c>
      <c r="FN206" s="227">
        <v>-15000</v>
      </c>
      <c r="FO206" s="15">
        <f t="shared" ref="FO206:FO208" si="1000">FL206+FN206</f>
        <v>5000</v>
      </c>
      <c r="FR206" s="15">
        <v>5000</v>
      </c>
      <c r="FT206" s="15">
        <v>0</v>
      </c>
      <c r="FV206" s="15">
        <v>20000</v>
      </c>
      <c r="FW206" s="235" t="e">
        <f t="shared" si="969"/>
        <v>#DIV/0!</v>
      </c>
      <c r="FZ206" s="15">
        <f>FV206+FY206</f>
        <v>20000</v>
      </c>
      <c r="GB206" s="15"/>
      <c r="GC206" s="15">
        <f>FZ206+GB206</f>
        <v>20000</v>
      </c>
      <c r="GE206" s="15"/>
      <c r="GF206" s="15">
        <f>GC206+GE206</f>
        <v>20000</v>
      </c>
      <c r="GH206" s="15"/>
      <c r="GI206" s="15">
        <f>GF206+GH206</f>
        <v>20000</v>
      </c>
      <c r="GK206" s="15"/>
      <c r="GL206" s="15">
        <f>GI206+GK206</f>
        <v>20000</v>
      </c>
      <c r="GN206" s="15"/>
      <c r="GO206" s="15">
        <f>GL206+GN206</f>
        <v>20000</v>
      </c>
      <c r="GQ206" s="15"/>
      <c r="GR206" s="15">
        <f>GO206+GQ206</f>
        <v>20000</v>
      </c>
      <c r="GT206" s="15"/>
      <c r="GU206" s="15">
        <f>GR206+GT206</f>
        <v>20000</v>
      </c>
      <c r="GW206" s="15"/>
      <c r="GX206" s="15">
        <f>GU206+GW206</f>
        <v>20000</v>
      </c>
      <c r="GZ206" s="15"/>
      <c r="HA206" s="189">
        <f>GX206+GZ206</f>
        <v>20000</v>
      </c>
      <c r="HC206" s="189">
        <v>0</v>
      </c>
      <c r="HE206" s="15">
        <v>20000</v>
      </c>
      <c r="HF206" s="235" t="e">
        <f>HE206/HC206</f>
        <v>#DIV/0!</v>
      </c>
    </row>
    <row r="207" spans="1:214" outlineLevel="1">
      <c r="A207" s="178" t="s">
        <v>392</v>
      </c>
      <c r="B207" s="179" t="s">
        <v>189</v>
      </c>
      <c r="C207" s="180" t="s">
        <v>190</v>
      </c>
      <c r="D207" s="36"/>
      <c r="E207" s="51"/>
      <c r="F207" s="36"/>
      <c r="G207" s="51"/>
      <c r="H207" s="36"/>
      <c r="I207" s="36"/>
      <c r="J207" s="14"/>
      <c r="L207" s="121"/>
      <c r="M207" s="176"/>
      <c r="N207" s="176"/>
      <c r="S207" s="118">
        <v>5000</v>
      </c>
      <c r="U207" s="177"/>
      <c r="V207"/>
      <c r="Y207" s="118">
        <v>8000</v>
      </c>
      <c r="Z207">
        <v>8000</v>
      </c>
      <c r="AA207" s="118">
        <v>8000</v>
      </c>
      <c r="AB207" s="185">
        <f t="shared" si="970"/>
        <v>0</v>
      </c>
      <c r="AC207" s="187">
        <f t="shared" si="971"/>
        <v>0</v>
      </c>
      <c r="AD207" s="187"/>
      <c r="AE207" s="118">
        <v>8000</v>
      </c>
      <c r="AF207" s="182"/>
      <c r="AH207" s="15">
        <v>5362</v>
      </c>
      <c r="AI207" s="17">
        <f t="shared" ref="AI207:AI209" si="1001">AH207/AE207</f>
        <v>0.67025000000000001</v>
      </c>
      <c r="AK207" s="118">
        <v>10000</v>
      </c>
      <c r="AP207" s="220">
        <v>10000</v>
      </c>
      <c r="AS207" s="15">
        <f t="shared" si="972"/>
        <v>10000</v>
      </c>
      <c r="AV207" s="15">
        <f t="shared" si="973"/>
        <v>10000</v>
      </c>
      <c r="AX207" s="15"/>
      <c r="AY207" s="15">
        <f t="shared" si="974"/>
        <v>10000</v>
      </c>
      <c r="BB207" s="15">
        <f t="shared" si="975"/>
        <v>10000</v>
      </c>
      <c r="BD207" s="15">
        <v>5000</v>
      </c>
      <c r="BE207" s="15">
        <f t="shared" si="976"/>
        <v>15000</v>
      </c>
      <c r="BG207" s="15"/>
      <c r="BH207" s="15">
        <f t="shared" si="977"/>
        <v>15000</v>
      </c>
      <c r="BJ207" s="15">
        <v>7171.48</v>
      </c>
      <c r="BK207" s="235">
        <f t="shared" si="978"/>
        <v>0.47809866666666662</v>
      </c>
      <c r="BM207" s="15"/>
      <c r="BN207" s="235">
        <f t="shared" si="979"/>
        <v>0</v>
      </c>
      <c r="BO207" s="235">
        <f t="shared" ref="BO207:BO208" si="1002">BM207/BH207</f>
        <v>0</v>
      </c>
      <c r="BQ207" s="15">
        <v>5000</v>
      </c>
      <c r="BR207" s="15">
        <f t="shared" si="980"/>
        <v>5000</v>
      </c>
      <c r="BT207" s="15"/>
      <c r="BU207" s="15">
        <f>BR207+BT207</f>
        <v>5000</v>
      </c>
      <c r="BW207" s="15"/>
      <c r="BX207" s="15">
        <f>BU207+BW207</f>
        <v>5000</v>
      </c>
      <c r="BZ207" s="15"/>
      <c r="CA207" s="15">
        <f>BX207+BZ207</f>
        <v>5000</v>
      </c>
      <c r="CC207" s="15"/>
      <c r="CD207" s="15">
        <f>CA207+CC207</f>
        <v>5000</v>
      </c>
      <c r="CF207" s="15"/>
      <c r="CG207" s="15">
        <f>CD207+CF207</f>
        <v>5000</v>
      </c>
      <c r="CI207" s="15"/>
      <c r="CJ207" s="15">
        <f>CG207+CI207</f>
        <v>5000</v>
      </c>
      <c r="CM207" s="15">
        <f>CJ207+CL207</f>
        <v>5000</v>
      </c>
      <c r="CP207" s="15">
        <f>CM207+CO207</f>
        <v>5000</v>
      </c>
      <c r="CS207" s="15">
        <f>CP207+CR207</f>
        <v>5000</v>
      </c>
      <c r="CV207" s="15">
        <f>CS207+CU207</f>
        <v>5000</v>
      </c>
      <c r="CY207" s="15">
        <f>CV207+CX207</f>
        <v>5000</v>
      </c>
      <c r="DA207" s="15">
        <v>3411</v>
      </c>
      <c r="DC207" s="15">
        <v>0</v>
      </c>
      <c r="DE207" s="15"/>
      <c r="DF207" s="15">
        <f t="shared" si="981"/>
        <v>0</v>
      </c>
      <c r="DH207" s="15"/>
      <c r="DI207" s="15">
        <f t="shared" si="982"/>
        <v>0</v>
      </c>
      <c r="DK207" s="15"/>
      <c r="DL207" s="15">
        <f t="shared" si="983"/>
        <v>0</v>
      </c>
      <c r="DN207" s="15"/>
      <c r="DO207" s="15">
        <f t="shared" si="984"/>
        <v>0</v>
      </c>
      <c r="DQ207" s="15"/>
      <c r="DR207" s="15">
        <f t="shared" si="985"/>
        <v>0</v>
      </c>
      <c r="DT207" s="15"/>
      <c r="DU207" s="15">
        <f t="shared" si="986"/>
        <v>0</v>
      </c>
      <c r="DW207" s="15"/>
      <c r="DX207" s="15">
        <f t="shared" si="987"/>
        <v>0</v>
      </c>
      <c r="DZ207" s="15"/>
      <c r="EA207" s="15">
        <f t="shared" si="988"/>
        <v>0</v>
      </c>
      <c r="EC207" s="15"/>
      <c r="ED207" s="15">
        <f t="shared" si="989"/>
        <v>0</v>
      </c>
      <c r="EF207" s="15"/>
      <c r="EG207" s="15">
        <f t="shared" si="990"/>
        <v>0</v>
      </c>
      <c r="EK207" s="15"/>
      <c r="EM207" s="15"/>
      <c r="EN207" s="15">
        <f t="shared" si="991"/>
        <v>0</v>
      </c>
      <c r="EP207" s="15"/>
      <c r="EQ207" s="15">
        <f t="shared" si="992"/>
        <v>0</v>
      </c>
      <c r="ES207" s="15"/>
      <c r="ET207" s="15">
        <f t="shared" si="993"/>
        <v>0</v>
      </c>
      <c r="EW207" s="15">
        <f t="shared" si="994"/>
        <v>0</v>
      </c>
      <c r="EZ207" s="15">
        <f t="shared" si="995"/>
        <v>0</v>
      </c>
      <c r="FC207" s="15">
        <f t="shared" si="996"/>
        <v>0</v>
      </c>
      <c r="FF207" s="15">
        <f t="shared" si="997"/>
        <v>0</v>
      </c>
      <c r="FI207" s="15">
        <f t="shared" si="998"/>
        <v>0</v>
      </c>
      <c r="FL207" s="15">
        <f t="shared" si="999"/>
        <v>0</v>
      </c>
      <c r="FO207" s="15">
        <f t="shared" si="1000"/>
        <v>0</v>
      </c>
      <c r="FR207" s="15">
        <v>0</v>
      </c>
      <c r="FZ207" s="15">
        <f>FV207+FY207</f>
        <v>0</v>
      </c>
      <c r="GB207" s="15"/>
      <c r="GC207" s="15">
        <f>FZ207+GB207</f>
        <v>0</v>
      </c>
      <c r="GE207" s="15"/>
      <c r="GF207" s="15">
        <f>GC207+GE207</f>
        <v>0</v>
      </c>
      <c r="GH207" s="15"/>
      <c r="GI207" s="15">
        <f>GF207+GH207</f>
        <v>0</v>
      </c>
      <c r="GK207" s="15"/>
      <c r="GL207" s="15">
        <f>GI207+GK207</f>
        <v>0</v>
      </c>
      <c r="GN207" s="15"/>
      <c r="GO207" s="15">
        <f>GL207+GN207</f>
        <v>0</v>
      </c>
      <c r="GQ207" s="15"/>
      <c r="GR207" s="15">
        <f>GO207+GQ207</f>
        <v>0</v>
      </c>
      <c r="GT207" s="15"/>
      <c r="GU207" s="15">
        <f>GR207+GT207</f>
        <v>0</v>
      </c>
      <c r="GW207" s="15"/>
      <c r="GX207" s="15">
        <f>GU207+GW207</f>
        <v>0</v>
      </c>
      <c r="GZ207" s="15"/>
      <c r="HA207" s="189">
        <f>GX207+GZ207</f>
        <v>0</v>
      </c>
    </row>
    <row r="208" spans="1:214" outlineLevel="1">
      <c r="A208" s="13" t="s">
        <v>392</v>
      </c>
      <c r="B208" s="10" t="s">
        <v>225</v>
      </c>
      <c r="C208" s="4" t="s">
        <v>226</v>
      </c>
      <c r="D208" s="36"/>
      <c r="E208" s="51"/>
      <c r="F208" s="36"/>
      <c r="G208" s="51"/>
      <c r="H208" s="36"/>
      <c r="I208" s="36"/>
      <c r="J208" s="14"/>
      <c r="L208" s="121"/>
      <c r="M208" s="176"/>
      <c r="N208" s="176"/>
      <c r="Q208" s="118">
        <v>22000</v>
      </c>
      <c r="R208" s="15">
        <v>21559</v>
      </c>
      <c r="S208" s="118">
        <v>37000</v>
      </c>
      <c r="T208" s="15">
        <f>S208-Q208</f>
        <v>15000</v>
      </c>
      <c r="U208" s="177">
        <f>S208/Q208-1</f>
        <v>0.68181818181818188</v>
      </c>
      <c r="V208">
        <v>20000</v>
      </c>
      <c r="Y208" s="118">
        <v>37000</v>
      </c>
      <c r="AA208" s="118">
        <v>30000</v>
      </c>
      <c r="AB208" s="185">
        <f t="shared" si="970"/>
        <v>-7000</v>
      </c>
      <c r="AC208" s="187">
        <f t="shared" si="971"/>
        <v>-7000</v>
      </c>
      <c r="AD208" s="187"/>
      <c r="AE208" s="118">
        <v>30000</v>
      </c>
      <c r="AF208" s="182"/>
      <c r="AH208" s="15">
        <v>21679.07</v>
      </c>
      <c r="AI208" s="17">
        <f t="shared" si="1001"/>
        <v>0.72263566666666668</v>
      </c>
      <c r="AK208" s="118">
        <v>10000</v>
      </c>
      <c r="AP208" s="220">
        <v>10000</v>
      </c>
      <c r="AS208" s="15">
        <f t="shared" si="972"/>
        <v>10000</v>
      </c>
      <c r="AV208" s="15">
        <f t="shared" si="973"/>
        <v>10000</v>
      </c>
      <c r="AX208" s="15"/>
      <c r="AY208" s="15">
        <f t="shared" si="974"/>
        <v>10000</v>
      </c>
      <c r="BB208" s="15">
        <f t="shared" si="975"/>
        <v>10000</v>
      </c>
      <c r="BD208" s="15"/>
      <c r="BE208" s="15">
        <f t="shared" si="976"/>
        <v>10000</v>
      </c>
      <c r="BG208" s="15"/>
      <c r="BH208" s="15">
        <f t="shared" si="977"/>
        <v>10000</v>
      </c>
      <c r="BJ208" s="15">
        <v>4840</v>
      </c>
      <c r="BK208" s="235">
        <f t="shared" si="978"/>
        <v>0.48399999999999999</v>
      </c>
      <c r="BM208" s="15"/>
      <c r="BN208" s="235">
        <f t="shared" si="979"/>
        <v>0</v>
      </c>
      <c r="BO208" s="235">
        <f t="shared" si="1002"/>
        <v>0</v>
      </c>
      <c r="BQ208" s="15">
        <v>5000</v>
      </c>
      <c r="BR208" s="15">
        <f t="shared" si="980"/>
        <v>5000</v>
      </c>
      <c r="BT208" s="15"/>
      <c r="BU208" s="15">
        <f>BR208+BT208</f>
        <v>5000</v>
      </c>
      <c r="BW208" s="15"/>
      <c r="BX208" s="15">
        <f>BU208+BW208</f>
        <v>5000</v>
      </c>
      <c r="BZ208" s="15"/>
      <c r="CA208" s="15">
        <f>BX208+BZ208</f>
        <v>5000</v>
      </c>
      <c r="CC208" s="15"/>
      <c r="CD208" s="15">
        <f>CA208+CC208</f>
        <v>5000</v>
      </c>
      <c r="CF208" s="15"/>
      <c r="CG208" s="15">
        <f>CD208+CF208</f>
        <v>5000</v>
      </c>
      <c r="CI208" s="15"/>
      <c r="CJ208" s="15">
        <f>CG208+CI208</f>
        <v>5000</v>
      </c>
      <c r="CM208" s="15">
        <f>CJ208+CL208</f>
        <v>5000</v>
      </c>
      <c r="CP208" s="15">
        <f>CM208+CO208</f>
        <v>5000</v>
      </c>
      <c r="CS208" s="15">
        <f>CP208+CR208</f>
        <v>5000</v>
      </c>
      <c r="CV208" s="15">
        <f>CS208+CU208</f>
        <v>5000</v>
      </c>
      <c r="CY208" s="15">
        <f>CV208+CX208</f>
        <v>5000</v>
      </c>
      <c r="DA208" s="15">
        <v>0</v>
      </c>
      <c r="DC208" s="15">
        <v>0</v>
      </c>
      <c r="DE208" s="15"/>
      <c r="DF208" s="15">
        <f t="shared" si="981"/>
        <v>0</v>
      </c>
      <c r="DH208" s="15"/>
      <c r="DI208" s="15">
        <f t="shared" si="982"/>
        <v>0</v>
      </c>
      <c r="DK208" s="15"/>
      <c r="DL208" s="15">
        <f t="shared" si="983"/>
        <v>0</v>
      </c>
      <c r="DN208" s="15"/>
      <c r="DO208" s="15">
        <f t="shared" si="984"/>
        <v>0</v>
      </c>
      <c r="DQ208" s="15"/>
      <c r="DR208" s="15">
        <f t="shared" si="985"/>
        <v>0</v>
      </c>
      <c r="DT208" s="15"/>
      <c r="DU208" s="15">
        <f t="shared" si="986"/>
        <v>0</v>
      </c>
      <c r="DW208" s="15"/>
      <c r="DX208" s="15">
        <f t="shared" si="987"/>
        <v>0</v>
      </c>
      <c r="DZ208" s="15"/>
      <c r="EA208" s="15">
        <f t="shared" si="988"/>
        <v>0</v>
      </c>
      <c r="EC208" s="15"/>
      <c r="ED208" s="15">
        <f t="shared" si="989"/>
        <v>0</v>
      </c>
      <c r="EF208" s="15"/>
      <c r="EG208" s="15">
        <f t="shared" si="990"/>
        <v>0</v>
      </c>
      <c r="EK208" s="15"/>
      <c r="EM208" s="15"/>
      <c r="EN208" s="15">
        <f t="shared" si="991"/>
        <v>0</v>
      </c>
      <c r="EP208" s="15"/>
      <c r="EQ208" s="15">
        <f t="shared" si="992"/>
        <v>0</v>
      </c>
      <c r="ES208" s="15"/>
      <c r="ET208" s="15">
        <f t="shared" si="993"/>
        <v>0</v>
      </c>
      <c r="EW208" s="15">
        <f t="shared" si="994"/>
        <v>0</v>
      </c>
      <c r="EZ208" s="15">
        <f t="shared" si="995"/>
        <v>0</v>
      </c>
      <c r="FC208" s="15">
        <f t="shared" si="996"/>
        <v>0</v>
      </c>
      <c r="FF208" s="15">
        <f t="shared" si="997"/>
        <v>0</v>
      </c>
      <c r="FI208" s="15">
        <f t="shared" si="998"/>
        <v>0</v>
      </c>
      <c r="FL208" s="15">
        <f t="shared" si="999"/>
        <v>0</v>
      </c>
      <c r="FO208" s="15">
        <f t="shared" si="1000"/>
        <v>0</v>
      </c>
      <c r="FR208" s="15">
        <v>0</v>
      </c>
      <c r="FZ208" s="15">
        <f>FV208+FY208</f>
        <v>0</v>
      </c>
      <c r="GB208" s="15"/>
      <c r="GC208" s="15">
        <f>FZ208+GB208</f>
        <v>0</v>
      </c>
      <c r="GE208" s="15"/>
      <c r="GF208" s="15">
        <f>GC208+GE208</f>
        <v>0</v>
      </c>
      <c r="GH208" s="15"/>
      <c r="GI208" s="15">
        <f>GF208+GH208</f>
        <v>0</v>
      </c>
      <c r="GK208" s="15"/>
      <c r="GL208" s="15">
        <f>GI208+GK208</f>
        <v>0</v>
      </c>
      <c r="GN208" s="15"/>
      <c r="GO208" s="15">
        <f>GL208+GN208</f>
        <v>0</v>
      </c>
      <c r="GQ208" s="15"/>
      <c r="GR208" s="15">
        <f>GO208+GQ208</f>
        <v>0</v>
      </c>
      <c r="GT208" s="15"/>
      <c r="GU208" s="15">
        <f>GR208+GT208</f>
        <v>0</v>
      </c>
      <c r="GW208" s="15"/>
      <c r="GX208" s="15">
        <f>GU208+GW208</f>
        <v>0</v>
      </c>
      <c r="GZ208" s="15"/>
      <c r="HA208" s="189">
        <f>GX208+GZ208</f>
        <v>0</v>
      </c>
    </row>
    <row r="209" spans="1:214" outlineLevel="1">
      <c r="A209" s="13" t="s">
        <v>392</v>
      </c>
      <c r="B209" s="10" t="s">
        <v>144</v>
      </c>
      <c r="C209" s="10" t="s">
        <v>145</v>
      </c>
      <c r="D209" s="36"/>
      <c r="E209" s="51"/>
      <c r="F209" s="36"/>
      <c r="G209" s="51"/>
      <c r="H209" s="36"/>
      <c r="I209" s="36"/>
      <c r="J209" s="14"/>
      <c r="L209" s="121"/>
      <c r="M209" s="176"/>
      <c r="N209" s="176"/>
      <c r="U209" s="177"/>
      <c r="V209"/>
      <c r="Y209" s="118"/>
      <c r="AB209" s="185"/>
      <c r="AC209" s="187"/>
      <c r="AD209" s="187"/>
      <c r="AE209" s="118">
        <v>300</v>
      </c>
      <c r="AF209" s="182">
        <f>AE209-AA209</f>
        <v>300</v>
      </c>
      <c r="AH209" s="15">
        <v>300</v>
      </c>
      <c r="AI209" s="17">
        <f t="shared" si="1001"/>
        <v>1</v>
      </c>
      <c r="AK209" s="118">
        <v>0</v>
      </c>
      <c r="AX209" s="15"/>
      <c r="BD209" s="15"/>
      <c r="BG209" s="15"/>
      <c r="DE209" s="15"/>
      <c r="DH209" s="15"/>
      <c r="DK209" s="15"/>
      <c r="DN209" s="15"/>
      <c r="DQ209" s="15"/>
      <c r="DT209" s="15"/>
      <c r="DW209" s="15"/>
      <c r="DZ209" s="15"/>
      <c r="EC209" s="15"/>
      <c r="EF209" s="15"/>
      <c r="EK209" s="15"/>
      <c r="EM209" s="15"/>
      <c r="EP209" s="15"/>
      <c r="ES209" s="15"/>
      <c r="GB209" s="15"/>
      <c r="GE209" s="15"/>
      <c r="GH209" s="15"/>
      <c r="GK209" s="15"/>
      <c r="GN209" s="15"/>
      <c r="GQ209" s="15"/>
      <c r="GT209" s="15"/>
      <c r="GW209" s="15"/>
      <c r="GZ209" s="15"/>
    </row>
    <row r="210" spans="1:214" outlineLevel="1">
      <c r="A210" s="13" t="s">
        <v>392</v>
      </c>
      <c r="B210" s="10" t="s">
        <v>115</v>
      </c>
      <c r="C210" s="282" t="s">
        <v>393</v>
      </c>
      <c r="D210" s="36"/>
      <c r="E210" s="51"/>
      <c r="F210" s="36"/>
      <c r="G210" s="51"/>
      <c r="H210" s="36"/>
      <c r="I210" s="36"/>
      <c r="J210" s="14"/>
      <c r="L210" s="121"/>
      <c r="M210" s="176"/>
      <c r="N210" s="176"/>
      <c r="V210">
        <v>30000</v>
      </c>
      <c r="W210">
        <v>50000</v>
      </c>
      <c r="X210">
        <v>-20000</v>
      </c>
      <c r="Y210" s="118"/>
      <c r="AF210" s="182"/>
      <c r="AH210" s="15"/>
      <c r="AX210" s="15"/>
      <c r="BD210" s="15"/>
      <c r="BG210" s="15"/>
      <c r="DE210" s="15"/>
      <c r="DH210" s="15"/>
      <c r="DK210" s="15"/>
      <c r="DN210" s="15"/>
      <c r="DQ210" s="15"/>
      <c r="DT210" s="15"/>
      <c r="DW210" s="15"/>
      <c r="DZ210" s="15"/>
      <c r="EC210" s="15"/>
      <c r="EF210" s="15"/>
      <c r="EK210" s="15"/>
      <c r="EM210" s="15"/>
      <c r="EP210" s="15"/>
      <c r="ES210" s="15"/>
      <c r="GB210" s="15"/>
      <c r="GE210" s="15"/>
      <c r="GH210" s="15"/>
      <c r="GK210" s="15"/>
      <c r="GN210" s="15"/>
      <c r="GQ210" s="15"/>
      <c r="GT210" s="15"/>
      <c r="GW210" s="15"/>
      <c r="GZ210" s="15"/>
    </row>
    <row r="211" spans="1:214" outlineLevel="1">
      <c r="A211" s="13" t="s">
        <v>392</v>
      </c>
      <c r="B211" s="10"/>
      <c r="C211" s="282" t="s">
        <v>394</v>
      </c>
      <c r="D211" s="36"/>
      <c r="E211" s="51"/>
      <c r="F211" s="36"/>
      <c r="G211" s="51"/>
      <c r="H211" s="36"/>
      <c r="I211" s="36"/>
      <c r="J211" s="14"/>
      <c r="L211" s="121"/>
      <c r="M211" s="176"/>
      <c r="N211" s="176"/>
      <c r="V211"/>
      <c r="Y211" s="118"/>
      <c r="AF211" s="182"/>
      <c r="AH211" s="15"/>
      <c r="AX211" s="15"/>
      <c r="BD211" s="15"/>
      <c r="BG211" s="15"/>
      <c r="DE211" s="15"/>
      <c r="DH211" s="15"/>
      <c r="DK211" s="15"/>
      <c r="DN211" s="15"/>
      <c r="DQ211" s="15"/>
      <c r="DT211" s="15"/>
      <c r="DW211" s="15"/>
      <c r="DZ211" s="15"/>
      <c r="EC211" s="15"/>
      <c r="EF211" s="15"/>
      <c r="EK211" s="15"/>
      <c r="EM211" s="15"/>
      <c r="EP211" s="15"/>
      <c r="ES211" s="15"/>
      <c r="GB211" s="15"/>
      <c r="GE211" s="15"/>
      <c r="GH211" s="15"/>
      <c r="GK211" s="15"/>
      <c r="GN211" s="15"/>
      <c r="GQ211" s="15"/>
      <c r="GT211" s="15"/>
      <c r="GW211" s="15"/>
      <c r="GZ211" s="15"/>
    </row>
    <row r="212" spans="1:214" s="145" customFormat="1" ht="13.5" customHeight="1" thickBot="1">
      <c r="A212" s="54" t="s">
        <v>401</v>
      </c>
      <c r="B212" s="55" t="s">
        <v>316</v>
      </c>
      <c r="C212" s="283" t="s">
        <v>400</v>
      </c>
      <c r="D212" s="57"/>
      <c r="E212" s="58"/>
      <c r="F212" s="57"/>
      <c r="G212" s="58"/>
      <c r="H212" s="57"/>
      <c r="I212" s="57"/>
      <c r="J212" s="59"/>
      <c r="K212" s="60"/>
      <c r="L212" s="122"/>
      <c r="M212" s="61"/>
      <c r="N212" s="61"/>
      <c r="O212" s="60"/>
      <c r="P212" s="60"/>
      <c r="Q212" s="122">
        <f>SUM(Q206:Q208)</f>
        <v>52000</v>
      </c>
      <c r="R212" s="122">
        <f>SUM(R206:R208)</f>
        <v>21559</v>
      </c>
      <c r="S212" s="122">
        <f>SUM(S206:S208)</f>
        <v>50000</v>
      </c>
      <c r="T212" s="122">
        <f>SUM(T206:T208)</f>
        <v>-7000</v>
      </c>
      <c r="U212" s="155">
        <f t="shared" ref="U212:U237" si="1003">S212/Q212-1</f>
        <v>-3.8461538461538436E-2</v>
      </c>
      <c r="Y212" s="122">
        <f>SUM(Y206:Y208)</f>
        <v>50000</v>
      </c>
      <c r="AA212" s="122">
        <f>SUM(AA206:AA208)</f>
        <v>38000</v>
      </c>
      <c r="AB212" s="122">
        <f>SUM(AB206:AB208)</f>
        <v>-12000</v>
      </c>
      <c r="AC212" s="188"/>
      <c r="AD212" s="188"/>
      <c r="AE212" s="122">
        <f>SUM(AE206:AE209)</f>
        <v>38300</v>
      </c>
      <c r="AF212" s="182"/>
      <c r="AG212"/>
      <c r="AH212" s="122">
        <f>SUM(AH206:AH209)</f>
        <v>27341.07</v>
      </c>
      <c r="AI212" s="17">
        <f t="shared" ref="AI212:AI225" si="1004">AH212/AE212</f>
        <v>0.71386605744125331</v>
      </c>
      <c r="AJ212"/>
      <c r="AK212" s="122">
        <f>SUM(AK206:AK209)</f>
        <v>50000</v>
      </c>
      <c r="AL212" s="193" t="e">
        <f>AK212/L212</f>
        <v>#DIV/0!</v>
      </c>
      <c r="AM212" s="17">
        <f>AK212/AE212</f>
        <v>1.3054830287206267</v>
      </c>
      <c r="AN212" s="17">
        <f>AK212/AH212</f>
        <v>1.8287506670368059</v>
      </c>
      <c r="AO212"/>
      <c r="AP212" s="220"/>
      <c r="AQ212"/>
      <c r="AR212"/>
      <c r="AS212" s="122">
        <f>SUM(AS206:AS209)</f>
        <v>50000</v>
      </c>
      <c r="AT212"/>
      <c r="AU212" s="122">
        <f>SUM(AU206:AU209)</f>
        <v>0</v>
      </c>
      <c r="AV212" s="122">
        <f>SUM(AV206:AV209)</f>
        <v>50000</v>
      </c>
      <c r="AW212"/>
      <c r="AX212" s="122">
        <f>SUM(AX206:AX209)</f>
        <v>0</v>
      </c>
      <c r="AY212" s="122">
        <f>SUM(AY206:AY209)</f>
        <v>50000</v>
      </c>
      <c r="AZ212"/>
      <c r="BA212" s="122">
        <f>SUM(BA206:BA209)</f>
        <v>0</v>
      </c>
      <c r="BB212" s="122">
        <f>SUM(BB206:BB209)</f>
        <v>50000</v>
      </c>
      <c r="BC212"/>
      <c r="BD212" s="122">
        <f>SUM(BD206:BD209)</f>
        <v>-15000</v>
      </c>
      <c r="BE212" s="122">
        <f>SUM(BE206:BE209)</f>
        <v>35000</v>
      </c>
      <c r="BF212"/>
      <c r="BG212" s="122">
        <f>SUM(BG206:BG209)</f>
        <v>0</v>
      </c>
      <c r="BH212" s="122">
        <f>SUM(BH206:BH209)</f>
        <v>35000</v>
      </c>
      <c r="BI212"/>
      <c r="BJ212" s="122">
        <f>SUM(BJ206:BJ209)</f>
        <v>12011.48</v>
      </c>
      <c r="BK212" s="236">
        <f t="shared" ref="BK212" si="1005">BJ212/BH212</f>
        <v>0.34318514285714286</v>
      </c>
      <c r="BL212" s="234"/>
      <c r="BM212" s="122">
        <f>SUM(BM206:BM209)</f>
        <v>30000</v>
      </c>
      <c r="BN212" s="236">
        <f t="shared" ref="BN212" si="1006">BM212/BJ212</f>
        <v>2.4976106191743233</v>
      </c>
      <c r="BO212" s="236">
        <f t="shared" ref="BO212" si="1007">BM212/BH212</f>
        <v>0.8571428571428571</v>
      </c>
      <c r="BP212"/>
      <c r="BQ212" s="122">
        <f>SUM(BQ206:BQ209)</f>
        <v>0</v>
      </c>
      <c r="BR212" s="122">
        <f>SUM(BR206:BR209)</f>
        <v>30000</v>
      </c>
      <c r="BS212"/>
      <c r="BT212" s="122">
        <f>SUM(BT206:BT209)</f>
        <v>0</v>
      </c>
      <c r="BU212" s="122">
        <f>SUM(BU206:BU209)</f>
        <v>30000</v>
      </c>
      <c r="BV212"/>
      <c r="BW212" s="122">
        <f>SUM(BW206:BW209)</f>
        <v>0</v>
      </c>
      <c r="BX212" s="122">
        <f>SUM(BX206:BX209)</f>
        <v>30000</v>
      </c>
      <c r="BY212"/>
      <c r="BZ212" s="122">
        <f>SUM(BZ206:BZ209)</f>
        <v>0</v>
      </c>
      <c r="CA212" s="122">
        <f>SUM(CA206:CA209)</f>
        <v>30000</v>
      </c>
      <c r="CB212"/>
      <c r="CC212" s="122">
        <f>SUM(CC206:CC209)</f>
        <v>0</v>
      </c>
      <c r="CD212" s="122">
        <f>SUM(CD206:CD209)</f>
        <v>30000</v>
      </c>
      <c r="CE212"/>
      <c r="CF212" s="122">
        <f>SUM(CF206:CF209)</f>
        <v>0</v>
      </c>
      <c r="CG212" s="122">
        <f>SUM(CG206:CG209)</f>
        <v>30000</v>
      </c>
      <c r="CH212"/>
      <c r="CI212" s="122">
        <f>SUM(CI206:CI209)</f>
        <v>0</v>
      </c>
      <c r="CJ212" s="122">
        <f>SUM(CJ206:CJ209)</f>
        <v>30000</v>
      </c>
      <c r="CK212"/>
      <c r="CL212" s="319">
        <f>SUM(CL206:CL209)</f>
        <v>0</v>
      </c>
      <c r="CM212" s="122">
        <f>SUM(CM206:CM209)</f>
        <v>30000</v>
      </c>
      <c r="CN212"/>
      <c r="CO212" s="122">
        <f>SUM(CO206:CO209)</f>
        <v>0</v>
      </c>
      <c r="CP212" s="122">
        <f>SUM(CP206:CP209)</f>
        <v>30000</v>
      </c>
      <c r="CQ212"/>
      <c r="CR212" s="122">
        <f>SUM(CR206:CR209)</f>
        <v>0</v>
      </c>
      <c r="CS212" s="122">
        <f>SUM(CS206:CS209)</f>
        <v>30000</v>
      </c>
      <c r="CT212"/>
      <c r="CU212" s="122">
        <f>SUM(CU206:CU209)</f>
        <v>0</v>
      </c>
      <c r="CV212" s="122">
        <f>SUM(CV206:CV209)</f>
        <v>30000</v>
      </c>
      <c r="CW212"/>
      <c r="CX212" s="122">
        <f>SUM(CX206:CX209)</f>
        <v>0</v>
      </c>
      <c r="CY212" s="122">
        <f>SUM(CY206:CY209)</f>
        <v>30000</v>
      </c>
      <c r="CZ212"/>
      <c r="DA212" s="122">
        <f>SUM(DA206:DA209)</f>
        <v>3411</v>
      </c>
      <c r="DB212"/>
      <c r="DC212" s="122">
        <f>SUM(DC206:DC209)</f>
        <v>20000</v>
      </c>
      <c r="DD212"/>
      <c r="DE212" s="122">
        <f>SUM(DE206:DE209)</f>
        <v>-5000</v>
      </c>
      <c r="DF212" s="122">
        <f>SUM(DF206:DF209)</f>
        <v>15000</v>
      </c>
      <c r="DG212"/>
      <c r="DH212" s="122">
        <f>SUM(DH206:DH209)</f>
        <v>0</v>
      </c>
      <c r="DI212" s="122">
        <f>SUM(DI206:DI209)</f>
        <v>15000</v>
      </c>
      <c r="DJ212"/>
      <c r="DK212" s="122">
        <f>SUM(DK206:DK209)</f>
        <v>0</v>
      </c>
      <c r="DL212" s="122">
        <f>SUM(DL206:DL209)</f>
        <v>15000</v>
      </c>
      <c r="DM212"/>
      <c r="DN212" s="122">
        <f>SUM(DN206:DN209)</f>
        <v>0</v>
      </c>
      <c r="DO212" s="122">
        <f>SUM(DO206:DO209)</f>
        <v>15000</v>
      </c>
      <c r="DP212"/>
      <c r="DQ212" s="122">
        <f>SUM(DQ206:DQ209)</f>
        <v>0</v>
      </c>
      <c r="DR212" s="122">
        <f>SUM(DR206:DR209)</f>
        <v>15000</v>
      </c>
      <c r="DS212"/>
      <c r="DT212" s="122">
        <f>SUM(DT206:DT209)</f>
        <v>0</v>
      </c>
      <c r="DU212" s="122">
        <f>SUM(DU206:DU209)</f>
        <v>15000</v>
      </c>
      <c r="DV212"/>
      <c r="DW212" s="122">
        <f>SUM(DW206:DW209)</f>
        <v>0</v>
      </c>
      <c r="DX212" s="122">
        <f>SUM(DX206:DX209)</f>
        <v>15000</v>
      </c>
      <c r="DY212"/>
      <c r="DZ212" s="122">
        <f>SUM(DZ206:DZ209)</f>
        <v>0</v>
      </c>
      <c r="EA212" s="122">
        <f>SUM(EA206:EA209)</f>
        <v>15000</v>
      </c>
      <c r="EB212"/>
      <c r="EC212" s="122">
        <f>SUM(EC206:EC209)</f>
        <v>-10000</v>
      </c>
      <c r="ED212" s="122">
        <f>SUM(ED206:ED209)</f>
        <v>5000</v>
      </c>
      <c r="EE212"/>
      <c r="EF212" s="122">
        <f>SUM(EF206:EF209)</f>
        <v>15000</v>
      </c>
      <c r="EG212" s="122">
        <f>SUM(EG206:EG209)</f>
        <v>20000</v>
      </c>
      <c r="EH212"/>
      <c r="EI212" s="122">
        <f>SUM(EI206:EI209)</f>
        <v>0</v>
      </c>
      <c r="EJ212"/>
      <c r="EK212" s="122">
        <f>SUM(EK206:EK209)</f>
        <v>20000</v>
      </c>
      <c r="EL212" s="377" t="e">
        <f>EK212/EI212-1</f>
        <v>#DIV/0!</v>
      </c>
      <c r="EM212" s="122">
        <f>SUM(EM206:EM209)</f>
        <v>0</v>
      </c>
      <c r="EN212" s="122">
        <f>SUM(EN206:EN209)</f>
        <v>20000</v>
      </c>
      <c r="EO212"/>
      <c r="EP212" s="122">
        <f>SUM(EP206:EP209)</f>
        <v>0</v>
      </c>
      <c r="EQ212" s="122">
        <f>SUM(EQ206:EQ209)</f>
        <v>20000</v>
      </c>
      <c r="ER212"/>
      <c r="ES212" s="122">
        <f>SUM(ES206:ES209)</f>
        <v>0</v>
      </c>
      <c r="ET212" s="122">
        <f>SUM(ET206:ET209)</f>
        <v>20000</v>
      </c>
      <c r="EU212"/>
      <c r="EV212" s="122">
        <f>SUM(EV206:EV209)</f>
        <v>0</v>
      </c>
      <c r="EW212" s="122">
        <f>SUM(EW206:EW209)</f>
        <v>20000</v>
      </c>
      <c r="EX212"/>
      <c r="EY212" s="122">
        <f>SUM(EY206:EY209)</f>
        <v>0</v>
      </c>
      <c r="EZ212" s="122">
        <f>SUM(EZ206:EZ209)</f>
        <v>20000</v>
      </c>
      <c r="FB212" s="122">
        <f>SUM(FB206:FB209)</f>
        <v>0</v>
      </c>
      <c r="FC212" s="122">
        <f>SUM(FC206:FC209)</f>
        <v>20000</v>
      </c>
      <c r="FE212" s="122">
        <f>SUM(FE206:FE209)</f>
        <v>0</v>
      </c>
      <c r="FF212" s="122">
        <f>SUM(FF206:FF209)</f>
        <v>20000</v>
      </c>
      <c r="FH212" s="122">
        <f>SUM(FH206:FH209)</f>
        <v>0</v>
      </c>
      <c r="FI212" s="122">
        <f>SUM(FI206:FI209)</f>
        <v>20000</v>
      </c>
      <c r="FK212" s="122">
        <f>SUM(FK206:FK209)</f>
        <v>0</v>
      </c>
      <c r="FL212" s="122">
        <f>SUM(FL206:FL209)</f>
        <v>20000</v>
      </c>
      <c r="FN212" s="122">
        <f>SUM(FN206:FN209)</f>
        <v>-15000</v>
      </c>
      <c r="FO212" s="122">
        <f>SUM(FO206:FO209)</f>
        <v>5000</v>
      </c>
      <c r="FQ212" s="122">
        <v>0</v>
      </c>
      <c r="FR212" s="122">
        <v>5000</v>
      </c>
      <c r="FT212" s="122">
        <f>SUM(FT206:FT210)</f>
        <v>0</v>
      </c>
      <c r="FV212" s="122">
        <f>SUM(FV206:FV210)</f>
        <v>20000</v>
      </c>
      <c r="FW212" s="235" t="e">
        <f t="shared" ref="FW212:FW214" si="1008">FV212/FT212</f>
        <v>#DIV/0!</v>
      </c>
      <c r="FY212" s="122">
        <f>SUM(FY206:FY210)</f>
        <v>0</v>
      </c>
      <c r="FZ212" s="122">
        <f>SUM(FZ206:FZ210)</f>
        <v>20000</v>
      </c>
      <c r="GB212" s="122">
        <f>SUM(GB206:GB210)</f>
        <v>0</v>
      </c>
      <c r="GC212" s="122">
        <f>SUM(GC206:GC210)</f>
        <v>20000</v>
      </c>
      <c r="GE212" s="122">
        <f>SUM(GE206:GE210)</f>
        <v>0</v>
      </c>
      <c r="GF212" s="122">
        <f>SUM(GF206:GF210)</f>
        <v>20000</v>
      </c>
      <c r="GH212" s="122">
        <f>SUM(GH206:GH210)</f>
        <v>0</v>
      </c>
      <c r="GI212" s="122">
        <f>SUM(GI206:GI210)</f>
        <v>20000</v>
      </c>
      <c r="GK212" s="122">
        <f>SUM(GK206:GK210)</f>
        <v>0</v>
      </c>
      <c r="GL212" s="122">
        <f>SUM(GL206:GL210)</f>
        <v>20000</v>
      </c>
      <c r="GN212" s="122">
        <f>SUM(GN206:GN210)</f>
        <v>0</v>
      </c>
      <c r="GO212" s="122">
        <f>SUM(GO206:GO210)</f>
        <v>20000</v>
      </c>
      <c r="GQ212" s="122">
        <f>SUM(GQ206:GQ210)</f>
        <v>0</v>
      </c>
      <c r="GR212" s="122">
        <f>SUM(GR206:GR210)</f>
        <v>20000</v>
      </c>
      <c r="GT212" s="122">
        <f>SUM(GT206:GT210)</f>
        <v>0</v>
      </c>
      <c r="GU212" s="122">
        <f>SUM(GU206:GU210)</f>
        <v>20000</v>
      </c>
      <c r="GW212" s="122">
        <f>SUM(GW206:GW210)</f>
        <v>0</v>
      </c>
      <c r="GX212" s="122">
        <f>SUM(GX206:GX210)</f>
        <v>20000</v>
      </c>
      <c r="GZ212" s="122">
        <f>SUM(GZ206:GZ210)</f>
        <v>0</v>
      </c>
      <c r="HA212" s="430">
        <f>SUM(HA206:HA210)</f>
        <v>20000</v>
      </c>
      <c r="HB212"/>
      <c r="HC212" s="122">
        <f>SUM(HC206:HC210)</f>
        <v>0</v>
      </c>
      <c r="HD212"/>
      <c r="HE212" s="122">
        <f>SUM(HE206:HE210)</f>
        <v>20000</v>
      </c>
      <c r="HF212" s="235" t="e">
        <f>HE212/HC212</f>
        <v>#DIV/0!</v>
      </c>
    </row>
    <row r="213" spans="1:214" s="145" customFormat="1" ht="15.75" outlineLevel="1" thickTop="1">
      <c r="A213" s="13" t="s">
        <v>551</v>
      </c>
      <c r="B213" s="10" t="s">
        <v>484</v>
      </c>
      <c r="C213" s="282" t="s">
        <v>552</v>
      </c>
      <c r="D213" s="36"/>
      <c r="E213" s="51"/>
      <c r="F213" s="36"/>
      <c r="G213" s="51"/>
      <c r="H213" s="36"/>
      <c r="I213" s="36"/>
      <c r="J213" s="14"/>
      <c r="K213"/>
      <c r="L213" s="121"/>
      <c r="M213" s="176"/>
      <c r="N213" s="176"/>
      <c r="O213"/>
      <c r="P213"/>
      <c r="Q213" s="121"/>
      <c r="R213" s="121"/>
      <c r="S213" s="121"/>
      <c r="T213" s="121"/>
      <c r="U213" s="223"/>
      <c r="V213"/>
      <c r="W213"/>
      <c r="X213"/>
      <c r="Y213" s="121"/>
      <c r="Z213"/>
      <c r="AA213" s="121"/>
      <c r="AB213" s="121"/>
      <c r="AC213" s="188"/>
      <c r="AD213" s="188"/>
      <c r="AE213" s="121"/>
      <c r="AF213" s="187"/>
      <c r="AG213"/>
      <c r="AH213" s="121"/>
      <c r="AI213" s="224"/>
      <c r="AJ213"/>
      <c r="AK213" s="121"/>
      <c r="AL213" s="193"/>
      <c r="AM213" s="224"/>
      <c r="AN213" s="224"/>
      <c r="AO213"/>
      <c r="AP213"/>
      <c r="AQ213"/>
      <c r="AR213"/>
      <c r="AS213" s="121"/>
      <c r="AT213"/>
      <c r="AU213" s="121"/>
      <c r="AV213" s="121"/>
      <c r="AW213"/>
      <c r="AX213" s="121"/>
      <c r="AY213" s="121"/>
      <c r="AZ213"/>
      <c r="BA213" s="121"/>
      <c r="BB213" s="121"/>
      <c r="BC213"/>
      <c r="BD213" s="121"/>
      <c r="BE213" s="121"/>
      <c r="BF213"/>
      <c r="BG213" s="121"/>
      <c r="BH213" s="121"/>
      <c r="BI213"/>
      <c r="BJ213" s="121"/>
      <c r="BK213" s="291"/>
      <c r="BL213" s="234"/>
      <c r="BM213" s="121"/>
      <c r="BN213" s="291"/>
      <c r="BO213" s="291"/>
      <c r="BP213"/>
      <c r="BQ213" s="299">
        <v>1000</v>
      </c>
      <c r="BR213" s="15">
        <f t="shared" ref="BR213" si="1009">BM213+BQ213</f>
        <v>1000</v>
      </c>
      <c r="BS213"/>
      <c r="BT213" s="36"/>
      <c r="BU213" s="15">
        <f>BR213+BT213</f>
        <v>1000</v>
      </c>
      <c r="BV213"/>
      <c r="BW213" s="36"/>
      <c r="BX213" s="15">
        <f>BU213+BW213</f>
        <v>1000</v>
      </c>
      <c r="BY213"/>
      <c r="BZ213" s="36"/>
      <c r="CA213" s="15">
        <f>BX213+BZ213</f>
        <v>1000</v>
      </c>
      <c r="CB213"/>
      <c r="CC213" s="36"/>
      <c r="CD213" s="15">
        <f>CA213+CC213</f>
        <v>1000</v>
      </c>
      <c r="CE213"/>
      <c r="CF213" s="36"/>
      <c r="CG213" s="15">
        <f>CD213+CF213</f>
        <v>1000</v>
      </c>
      <c r="CH213"/>
      <c r="CI213" s="36"/>
      <c r="CJ213" s="15">
        <f>CG213+CI213</f>
        <v>1000</v>
      </c>
      <c r="CK213"/>
      <c r="CL213" s="36"/>
      <c r="CM213" s="15">
        <f>CJ213+CL213</f>
        <v>1000</v>
      </c>
      <c r="CN213"/>
      <c r="CO213" s="36"/>
      <c r="CP213" s="15">
        <f>CM213+CO213</f>
        <v>1000</v>
      </c>
      <c r="CQ213"/>
      <c r="CR213" s="36"/>
      <c r="CS213" s="15">
        <f>CP213+CR213</f>
        <v>1000</v>
      </c>
      <c r="CT213"/>
      <c r="CU213" s="36"/>
      <c r="CV213" s="15">
        <f>CS213+CU213</f>
        <v>1000</v>
      </c>
      <c r="CW213"/>
      <c r="CX213" s="36"/>
      <c r="CY213" s="15">
        <f>CV213+CX213</f>
        <v>1000</v>
      </c>
      <c r="CZ213"/>
      <c r="DA213" s="36">
        <v>1000</v>
      </c>
      <c r="DB213"/>
      <c r="DC213" s="36">
        <v>1000</v>
      </c>
      <c r="DD213"/>
      <c r="DE213" s="121"/>
      <c r="DF213" s="15">
        <f t="shared" ref="DF213" si="1010">DC213+DE213</f>
        <v>1000</v>
      </c>
      <c r="DG213"/>
      <c r="DH213" s="121"/>
      <c r="DI213" s="15">
        <f t="shared" ref="DI213" si="1011">DF213+DH213</f>
        <v>1000</v>
      </c>
      <c r="DJ213"/>
      <c r="DK213" s="121"/>
      <c r="DL213" s="15">
        <f t="shared" ref="DL213" si="1012">DI213+DK213</f>
        <v>1000</v>
      </c>
      <c r="DM213"/>
      <c r="DN213" s="121"/>
      <c r="DO213" s="15">
        <f t="shared" ref="DO213" si="1013">DL213+DN213</f>
        <v>1000</v>
      </c>
      <c r="DP213"/>
      <c r="DQ213" s="121"/>
      <c r="DR213" s="15">
        <f t="shared" ref="DR213" si="1014">DO213+DQ213</f>
        <v>1000</v>
      </c>
      <c r="DS213"/>
      <c r="DT213" s="121"/>
      <c r="DU213" s="15">
        <f t="shared" ref="DU213" si="1015">DR213+DT213</f>
        <v>1000</v>
      </c>
      <c r="DV213"/>
      <c r="DW213" s="121"/>
      <c r="DX213" s="15">
        <f t="shared" ref="DX213" si="1016">DU213+DW213</f>
        <v>1000</v>
      </c>
      <c r="DY213"/>
      <c r="DZ213" s="121"/>
      <c r="EA213" s="15">
        <f t="shared" ref="EA213" si="1017">DX213+DZ213</f>
        <v>1000</v>
      </c>
      <c r="EB213"/>
      <c r="EC213" s="121"/>
      <c r="ED213" s="15">
        <f t="shared" ref="ED213" si="1018">EA213+EC213</f>
        <v>1000</v>
      </c>
      <c r="EE213"/>
      <c r="EF213" s="121"/>
      <c r="EG213" s="15">
        <f t="shared" ref="EG213" si="1019">ED213+EF213</f>
        <v>1000</v>
      </c>
      <c r="EH213"/>
      <c r="EI213" s="36">
        <v>1000</v>
      </c>
      <c r="EJ213"/>
      <c r="EK213" s="36">
        <v>1000</v>
      </c>
      <c r="EL213"/>
      <c r="EM213" s="121"/>
      <c r="EN213" s="15">
        <f t="shared" ref="EN213" si="1020">EK213+EM213</f>
        <v>1000</v>
      </c>
      <c r="EO213"/>
      <c r="EP213" s="121"/>
      <c r="EQ213" s="15">
        <f t="shared" ref="EQ213" si="1021">EN213+EP213</f>
        <v>1000</v>
      </c>
      <c r="ER213"/>
      <c r="ES213" s="121"/>
      <c r="ET213" s="15">
        <f t="shared" ref="ET213" si="1022">EQ213+ES213</f>
        <v>1000</v>
      </c>
      <c r="EU213"/>
      <c r="EV213" s="121"/>
      <c r="EW213" s="15">
        <f t="shared" ref="EW213" si="1023">ET213+EV213</f>
        <v>1000</v>
      </c>
      <c r="EX213"/>
      <c r="EY213" s="121"/>
      <c r="EZ213" s="15">
        <f t="shared" ref="EZ213" si="1024">EW213+EY213</f>
        <v>1000</v>
      </c>
      <c r="FB213" s="121"/>
      <c r="FC213" s="15">
        <f t="shared" ref="FC213" si="1025">EZ213+FB213</f>
        <v>1000</v>
      </c>
      <c r="FE213" s="121"/>
      <c r="FF213" s="15">
        <f t="shared" ref="FF213" si="1026">FC213+FE213</f>
        <v>1000</v>
      </c>
      <c r="FH213" s="121"/>
      <c r="FI213" s="15">
        <f t="shared" ref="FI213" si="1027">FF213+FH213</f>
        <v>1000</v>
      </c>
      <c r="FK213" s="121"/>
      <c r="FL213" s="15">
        <f t="shared" ref="FL213" si="1028">FI213+FK213</f>
        <v>1000</v>
      </c>
      <c r="FN213" s="121"/>
      <c r="FO213" s="15">
        <f t="shared" ref="FO213" si="1029">FL213+FN213</f>
        <v>1000</v>
      </c>
      <c r="FQ213" s="121"/>
      <c r="FR213" s="15">
        <v>1000</v>
      </c>
      <c r="FT213" s="36">
        <v>0</v>
      </c>
      <c r="FV213" s="36"/>
      <c r="FW213" s="235" t="e">
        <f t="shared" si="1008"/>
        <v>#DIV/0!</v>
      </c>
      <c r="FY213" s="121"/>
      <c r="FZ213" s="15">
        <f>FV213+FY213</f>
        <v>0</v>
      </c>
      <c r="GB213" s="121"/>
      <c r="GC213" s="15">
        <f>FZ213+GB213</f>
        <v>0</v>
      </c>
      <c r="GE213" s="121"/>
      <c r="GF213" s="15">
        <f>GC213+GE213</f>
        <v>0</v>
      </c>
      <c r="GH213" s="121"/>
      <c r="GI213" s="15">
        <f>GF213+GH213</f>
        <v>0</v>
      </c>
      <c r="GK213" s="121"/>
      <c r="GL213" s="15">
        <f>GI213+GK213</f>
        <v>0</v>
      </c>
      <c r="GN213" s="121"/>
      <c r="GO213" s="15">
        <f>GL213+GN213</f>
        <v>0</v>
      </c>
      <c r="GQ213" s="121"/>
      <c r="GR213" s="15">
        <f>GO213+GQ213</f>
        <v>0</v>
      </c>
      <c r="GT213" s="121"/>
      <c r="GU213" s="15">
        <f>GR213+GT213</f>
        <v>0</v>
      </c>
      <c r="GW213" s="121"/>
      <c r="GX213" s="15">
        <f>GU213+GW213</f>
        <v>0</v>
      </c>
      <c r="GZ213" s="121"/>
      <c r="HA213" s="189">
        <f>GX213+GZ213</f>
        <v>0</v>
      </c>
      <c r="HB213"/>
      <c r="HC213" s="189"/>
      <c r="HD213"/>
      <c r="HE213" s="36"/>
      <c r="HF213" s="235" t="e">
        <f>HE213/HC213</f>
        <v>#DIV/0!</v>
      </c>
    </row>
    <row r="214" spans="1:214" s="145" customFormat="1" ht="16.5" customHeight="1" thickBot="1">
      <c r="A214" s="54" t="s">
        <v>551</v>
      </c>
      <c r="B214" s="55" t="s">
        <v>316</v>
      </c>
      <c r="C214" s="283" t="s">
        <v>552</v>
      </c>
      <c r="D214" s="57"/>
      <c r="E214" s="58"/>
      <c r="F214" s="57"/>
      <c r="G214" s="58"/>
      <c r="H214" s="57"/>
      <c r="I214" s="57"/>
      <c r="J214" s="59"/>
      <c r="K214" s="60"/>
      <c r="L214" s="122"/>
      <c r="M214" s="61"/>
      <c r="N214" s="61"/>
      <c r="O214" s="60"/>
      <c r="P214" s="60"/>
      <c r="Q214" s="122"/>
      <c r="R214" s="122"/>
      <c r="S214" s="122"/>
      <c r="T214" s="122"/>
      <c r="U214" s="292"/>
      <c r="V214" s="133"/>
      <c r="W214" s="133"/>
      <c r="X214" s="133"/>
      <c r="Y214" s="122"/>
      <c r="Z214" s="133"/>
      <c r="AA214" s="122"/>
      <c r="AB214" s="122"/>
      <c r="AC214" s="293"/>
      <c r="AD214" s="293"/>
      <c r="AE214" s="122"/>
      <c r="AF214" s="294"/>
      <c r="AG214" s="295"/>
      <c r="AH214" s="122"/>
      <c r="AI214" s="214"/>
      <c r="AJ214" s="295"/>
      <c r="AK214" s="122"/>
      <c r="AL214" s="296"/>
      <c r="AM214" s="214"/>
      <c r="AN214" s="214"/>
      <c r="AO214" s="295"/>
      <c r="AP214" s="297"/>
      <c r="AQ214" s="295"/>
      <c r="AR214" s="295"/>
      <c r="AS214" s="122"/>
      <c r="AT214" s="295"/>
      <c r="AU214" s="122"/>
      <c r="AV214" s="122"/>
      <c r="AW214" s="295"/>
      <c r="AX214" s="122"/>
      <c r="AY214" s="122"/>
      <c r="AZ214" s="295"/>
      <c r="BA214" s="122"/>
      <c r="BB214" s="122"/>
      <c r="BC214" s="295"/>
      <c r="BD214" s="122"/>
      <c r="BE214" s="122"/>
      <c r="BF214" s="295"/>
      <c r="BG214" s="122"/>
      <c r="BH214" s="122"/>
      <c r="BI214" s="295"/>
      <c r="BJ214" s="122"/>
      <c r="BK214" s="236"/>
      <c r="BL214" s="298"/>
      <c r="BM214" s="122"/>
      <c r="BN214" s="236"/>
      <c r="BO214" s="236"/>
      <c r="BP214" s="295"/>
      <c r="BQ214" s="122">
        <f>SUM(BQ213)</f>
        <v>1000</v>
      </c>
      <c r="BR214" s="122">
        <f>SUM(BR213)</f>
        <v>1000</v>
      </c>
      <c r="BS214"/>
      <c r="BT214" s="122">
        <f>SUM(BT213)</f>
        <v>0</v>
      </c>
      <c r="BU214" s="122">
        <f>SUM(BU213)</f>
        <v>1000</v>
      </c>
      <c r="BV214"/>
      <c r="BW214" s="122">
        <f>SUM(BW213)</f>
        <v>0</v>
      </c>
      <c r="BX214" s="122">
        <f>SUM(BX213)</f>
        <v>1000</v>
      </c>
      <c r="BY214"/>
      <c r="BZ214" s="122">
        <f>SUM(BZ213)</f>
        <v>0</v>
      </c>
      <c r="CA214" s="122">
        <f>SUM(CA213)</f>
        <v>1000</v>
      </c>
      <c r="CB214"/>
      <c r="CC214" s="122">
        <f>SUM(CC213)</f>
        <v>0</v>
      </c>
      <c r="CD214" s="122">
        <f>SUM(CD213)</f>
        <v>1000</v>
      </c>
      <c r="CE214"/>
      <c r="CF214" s="122">
        <f>SUM(CF213)</f>
        <v>0</v>
      </c>
      <c r="CG214" s="122">
        <f>SUM(CG213)</f>
        <v>1000</v>
      </c>
      <c r="CH214"/>
      <c r="CI214" s="122">
        <f>SUM(CI213)</f>
        <v>0</v>
      </c>
      <c r="CJ214" s="122">
        <f>SUM(CJ213)</f>
        <v>1000</v>
      </c>
      <c r="CK214"/>
      <c r="CL214" s="319">
        <f>SUM(CL213)</f>
        <v>0</v>
      </c>
      <c r="CM214" s="122">
        <f>SUM(CM213)</f>
        <v>1000</v>
      </c>
      <c r="CN214"/>
      <c r="CO214" s="122">
        <f>SUM(CO213)</f>
        <v>0</v>
      </c>
      <c r="CP214" s="122">
        <f>SUM(CP213)</f>
        <v>1000</v>
      </c>
      <c r="CQ214"/>
      <c r="CR214" s="122">
        <f>SUM(CR213)</f>
        <v>0</v>
      </c>
      <c r="CS214" s="122">
        <f>SUM(CS213)</f>
        <v>1000</v>
      </c>
      <c r="CT214"/>
      <c r="CU214" s="122">
        <f>SUM(CU213)</f>
        <v>0</v>
      </c>
      <c r="CV214" s="122">
        <f>SUM(CV213)</f>
        <v>1000</v>
      </c>
      <c r="CW214"/>
      <c r="CX214" s="122">
        <f>SUM(CX213)</f>
        <v>0</v>
      </c>
      <c r="CY214" s="122">
        <f>SUM(CY213)</f>
        <v>1000</v>
      </c>
      <c r="CZ214"/>
      <c r="DA214" s="122">
        <f>SUM(DA213)</f>
        <v>1000</v>
      </c>
      <c r="DB214"/>
      <c r="DC214" s="122">
        <f>SUM(DC213)</f>
        <v>1000</v>
      </c>
      <c r="DD214"/>
      <c r="DE214" s="122">
        <f>SUM(DE213)</f>
        <v>0</v>
      </c>
      <c r="DF214" s="122">
        <f>SUM(DF213)</f>
        <v>1000</v>
      </c>
      <c r="DG214"/>
      <c r="DH214" s="122">
        <f>SUM(DH213)</f>
        <v>0</v>
      </c>
      <c r="DI214" s="122">
        <f>SUM(DI213)</f>
        <v>1000</v>
      </c>
      <c r="DJ214"/>
      <c r="DK214" s="122">
        <f>SUM(DK213)</f>
        <v>0</v>
      </c>
      <c r="DL214" s="122">
        <f>SUM(DL213)</f>
        <v>1000</v>
      </c>
      <c r="DM214"/>
      <c r="DN214" s="122">
        <f>SUM(DN213)</f>
        <v>0</v>
      </c>
      <c r="DO214" s="122">
        <f>SUM(DO213)</f>
        <v>1000</v>
      </c>
      <c r="DP214"/>
      <c r="DQ214" s="122">
        <f>SUM(DQ213)</f>
        <v>0</v>
      </c>
      <c r="DR214" s="122">
        <f>SUM(DR213)</f>
        <v>1000</v>
      </c>
      <c r="DS214"/>
      <c r="DT214" s="122">
        <f>SUM(DT213)</f>
        <v>0</v>
      </c>
      <c r="DU214" s="122">
        <f>SUM(DU213)</f>
        <v>1000</v>
      </c>
      <c r="DV214"/>
      <c r="DW214" s="122">
        <f>SUM(DW213)</f>
        <v>0</v>
      </c>
      <c r="DX214" s="122">
        <f>SUM(DX213)</f>
        <v>1000</v>
      </c>
      <c r="DY214"/>
      <c r="DZ214" s="122">
        <f>SUM(DZ213)</f>
        <v>0</v>
      </c>
      <c r="EA214" s="122">
        <f>SUM(EA213)</f>
        <v>1000</v>
      </c>
      <c r="EB214"/>
      <c r="EC214" s="122">
        <f>SUM(EC213)</f>
        <v>0</v>
      </c>
      <c r="ED214" s="122">
        <f>SUM(ED213)</f>
        <v>1000</v>
      </c>
      <c r="EE214"/>
      <c r="EF214" s="122">
        <f>SUM(EF213)</f>
        <v>0</v>
      </c>
      <c r="EG214" s="122">
        <f>SUM(EG213)</f>
        <v>1000</v>
      </c>
      <c r="EH214"/>
      <c r="EI214" s="122">
        <f>SUM(EI213)</f>
        <v>1000</v>
      </c>
      <c r="EJ214"/>
      <c r="EK214" s="122">
        <f>SUM(EK213)</f>
        <v>1000</v>
      </c>
      <c r="EL214"/>
      <c r="EM214" s="122">
        <f>SUM(EM213)</f>
        <v>0</v>
      </c>
      <c r="EN214" s="122">
        <f>SUM(EN213)</f>
        <v>1000</v>
      </c>
      <c r="EO214"/>
      <c r="EP214" s="122">
        <f>SUM(EP213)</f>
        <v>0</v>
      </c>
      <c r="EQ214" s="122">
        <f>SUM(EQ213)</f>
        <v>1000</v>
      </c>
      <c r="ER214"/>
      <c r="ES214" s="122">
        <f>SUM(ES213)</f>
        <v>0</v>
      </c>
      <c r="ET214" s="122">
        <f>SUM(ET213)</f>
        <v>1000</v>
      </c>
      <c r="EU214"/>
      <c r="EV214" s="122">
        <f>SUM(EV213)</f>
        <v>0</v>
      </c>
      <c r="EW214" s="122">
        <f>SUM(EW213)</f>
        <v>1000</v>
      </c>
      <c r="EX214"/>
      <c r="EY214" s="122">
        <f>SUM(EY213)</f>
        <v>0</v>
      </c>
      <c r="EZ214" s="122">
        <f>SUM(EZ213)</f>
        <v>1000</v>
      </c>
      <c r="FB214" s="122">
        <f>SUM(FB213)</f>
        <v>0</v>
      </c>
      <c r="FC214" s="122">
        <f>SUM(FC213)</f>
        <v>1000</v>
      </c>
      <c r="FE214" s="122">
        <f>SUM(FE213)</f>
        <v>0</v>
      </c>
      <c r="FF214" s="122">
        <f>SUM(FF213)</f>
        <v>1000</v>
      </c>
      <c r="FH214" s="122">
        <f>SUM(FH213)</f>
        <v>0</v>
      </c>
      <c r="FI214" s="122">
        <f>SUM(FI213)</f>
        <v>1000</v>
      </c>
      <c r="FK214" s="122">
        <f>SUM(FK213)</f>
        <v>0</v>
      </c>
      <c r="FL214" s="122">
        <f>SUM(FL213)</f>
        <v>1000</v>
      </c>
      <c r="FN214" s="122">
        <f>SUM(FN213)</f>
        <v>0</v>
      </c>
      <c r="FO214" s="122">
        <f>SUM(FO213)</f>
        <v>1000</v>
      </c>
      <c r="FQ214" s="122">
        <v>0</v>
      </c>
      <c r="FR214" s="122">
        <v>1000</v>
      </c>
      <c r="FT214" s="122">
        <f>SUM(FT213)</f>
        <v>0</v>
      </c>
      <c r="FV214" s="122">
        <f>SUM(FV213)</f>
        <v>0</v>
      </c>
      <c r="FW214" s="235" t="e">
        <f t="shared" si="1008"/>
        <v>#DIV/0!</v>
      </c>
      <c r="FY214" s="122">
        <f t="shared" ref="FY214:FZ214" si="1030">SUM(FY213)</f>
        <v>0</v>
      </c>
      <c r="FZ214" s="122">
        <f t="shared" si="1030"/>
        <v>0</v>
      </c>
      <c r="GB214" s="122">
        <f t="shared" ref="GB214:GC214" si="1031">SUM(GB213)</f>
        <v>0</v>
      </c>
      <c r="GC214" s="122">
        <f t="shared" si="1031"/>
        <v>0</v>
      </c>
      <c r="GE214" s="122">
        <f t="shared" ref="GE214:GF214" si="1032">SUM(GE213)</f>
        <v>0</v>
      </c>
      <c r="GF214" s="122">
        <f t="shared" si="1032"/>
        <v>0</v>
      </c>
      <c r="GH214" s="122">
        <f t="shared" ref="GH214:GI214" si="1033">SUM(GH213)</f>
        <v>0</v>
      </c>
      <c r="GI214" s="122">
        <f t="shared" si="1033"/>
        <v>0</v>
      </c>
      <c r="GK214" s="122">
        <f t="shared" ref="GK214:GL214" si="1034">SUM(GK213)</f>
        <v>0</v>
      </c>
      <c r="GL214" s="122">
        <f t="shared" si="1034"/>
        <v>0</v>
      </c>
      <c r="GN214" s="122">
        <f t="shared" ref="GN214:GO214" si="1035">SUM(GN213)</f>
        <v>0</v>
      </c>
      <c r="GO214" s="122">
        <f t="shared" si="1035"/>
        <v>0</v>
      </c>
      <c r="GQ214" s="122">
        <f t="shared" ref="GQ214:GR214" si="1036">SUM(GQ213)</f>
        <v>0</v>
      </c>
      <c r="GR214" s="122">
        <f t="shared" si="1036"/>
        <v>0</v>
      </c>
      <c r="GT214" s="122">
        <f t="shared" ref="GT214:GU214" si="1037">SUM(GT213)</f>
        <v>0</v>
      </c>
      <c r="GU214" s="122">
        <f t="shared" si="1037"/>
        <v>0</v>
      </c>
      <c r="GW214" s="122">
        <f t="shared" ref="GW214:GX214" si="1038">SUM(GW213)</f>
        <v>0</v>
      </c>
      <c r="GX214" s="122">
        <f t="shared" si="1038"/>
        <v>0</v>
      </c>
      <c r="GZ214" s="122">
        <f t="shared" ref="GZ214:HA214" si="1039">SUM(GZ213)</f>
        <v>0</v>
      </c>
      <c r="HA214" s="430">
        <f t="shared" si="1039"/>
        <v>0</v>
      </c>
      <c r="HB214"/>
      <c r="HC214" s="122">
        <f>SUM(HC213)</f>
        <v>0</v>
      </c>
      <c r="HD214"/>
      <c r="HE214" s="122">
        <f>SUM(HE213)</f>
        <v>0</v>
      </c>
      <c r="HF214" s="235" t="e">
        <f>HE214/HC214</f>
        <v>#DIV/0!</v>
      </c>
    </row>
    <row r="215" spans="1:214" s="145" customFormat="1" ht="15.75" customHeight="1" outlineLevel="1" thickTop="1">
      <c r="A215" s="13" t="s">
        <v>475</v>
      </c>
      <c r="B215" s="10" t="s">
        <v>134</v>
      </c>
      <c r="C215" s="282" t="s">
        <v>135</v>
      </c>
      <c r="D215" s="36"/>
      <c r="E215" s="51"/>
      <c r="F215" s="36"/>
      <c r="G215" s="51"/>
      <c r="H215" s="36"/>
      <c r="I215" s="36"/>
      <c r="J215" s="14"/>
      <c r="K215"/>
      <c r="L215" s="121"/>
      <c r="M215" s="176"/>
      <c r="N215" s="176"/>
      <c r="O215"/>
      <c r="P215"/>
      <c r="Q215" s="121"/>
      <c r="R215" s="121"/>
      <c r="S215" s="121"/>
      <c r="T215" s="121"/>
      <c r="U215" s="223"/>
      <c r="V215"/>
      <c r="W215"/>
      <c r="X215"/>
      <c r="Y215" s="121"/>
      <c r="Z215"/>
      <c r="AA215" s="121"/>
      <c r="AB215" s="121"/>
      <c r="AC215" s="188"/>
      <c r="AD215" s="188"/>
      <c r="AE215" s="121"/>
      <c r="AF215" s="187"/>
      <c r="AG215"/>
      <c r="AH215" s="121"/>
      <c r="AI215" s="224"/>
      <c r="AJ215"/>
      <c r="AK215" s="121"/>
      <c r="AL215" s="193"/>
      <c r="AM215" s="224"/>
      <c r="AN215" s="224"/>
      <c r="AO215"/>
      <c r="AP215"/>
      <c r="AQ215"/>
      <c r="AR215"/>
      <c r="AS215" s="121"/>
      <c r="AT215"/>
      <c r="AU215" s="15">
        <v>100000</v>
      </c>
      <c r="AV215" s="15">
        <f t="shared" ref="AV215:AV230" si="1040">AS215+AU215</f>
        <v>100000</v>
      </c>
      <c r="AW215"/>
      <c r="AX215" s="15"/>
      <c r="AY215" s="15">
        <f t="shared" ref="AY215" si="1041">AV215+AX215</f>
        <v>100000</v>
      </c>
      <c r="AZ215"/>
      <c r="BA215" s="15"/>
      <c r="BB215" s="15">
        <f t="shared" ref="BB215" si="1042">AY215+BA215</f>
        <v>100000</v>
      </c>
      <c r="BC215"/>
      <c r="BD215" s="15"/>
      <c r="BE215" s="15">
        <f t="shared" ref="BE215" si="1043">BB215+BD215</f>
        <v>100000</v>
      </c>
      <c r="BF215"/>
      <c r="BG215" s="15"/>
      <c r="BH215" s="15">
        <f t="shared" ref="BH215" si="1044">BE215+BG215</f>
        <v>100000</v>
      </c>
      <c r="BI215"/>
      <c r="BJ215" s="15">
        <v>100000</v>
      </c>
      <c r="BK215" s="235">
        <f t="shared" ref="BK215:BK216" si="1045">BJ215/BH215</f>
        <v>1</v>
      </c>
      <c r="BL215" s="234"/>
      <c r="BM215" s="15">
        <v>0</v>
      </c>
      <c r="BN215" s="235">
        <f t="shared" ref="BN215:BN237" si="1046">BM215/BJ215</f>
        <v>0</v>
      </c>
      <c r="BO215" s="235">
        <f t="shared" ref="BO215:BO237" si="1047">BM215/BH215</f>
        <v>0</v>
      </c>
      <c r="BP215"/>
      <c r="BQ215" s="15">
        <v>0</v>
      </c>
      <c r="BR215" s="15">
        <v>0</v>
      </c>
      <c r="BS215"/>
      <c r="BT215" s="15">
        <v>0</v>
      </c>
      <c r="BU215" s="15">
        <v>0</v>
      </c>
      <c r="BV215"/>
      <c r="BW215" s="15">
        <v>0</v>
      </c>
      <c r="BX215" s="15">
        <v>0</v>
      </c>
      <c r="BY215"/>
      <c r="BZ215" s="15">
        <v>0</v>
      </c>
      <c r="CA215" s="15">
        <v>0</v>
      </c>
      <c r="CB215"/>
      <c r="CC215" s="15">
        <v>0</v>
      </c>
      <c r="CD215" s="15">
        <v>0</v>
      </c>
      <c r="CE215"/>
      <c r="CF215" s="15">
        <v>0</v>
      </c>
      <c r="CG215" s="15">
        <v>0</v>
      </c>
      <c r="CH215"/>
      <c r="CI215" s="15">
        <v>0</v>
      </c>
      <c r="CJ215" s="15">
        <v>0</v>
      </c>
      <c r="CK215"/>
      <c r="CL215" s="15">
        <v>0</v>
      </c>
      <c r="CM215" s="15">
        <v>0</v>
      </c>
      <c r="CN215"/>
      <c r="CO215" s="15">
        <v>0</v>
      </c>
      <c r="CP215" s="15">
        <v>0</v>
      </c>
      <c r="CQ215"/>
      <c r="CR215" s="15">
        <v>0</v>
      </c>
      <c r="CS215" s="15">
        <v>0</v>
      </c>
      <c r="CT215"/>
      <c r="CU215" s="15">
        <v>0</v>
      </c>
      <c r="CV215" s="15">
        <v>0</v>
      </c>
      <c r="CW215"/>
      <c r="CX215" s="15">
        <v>0</v>
      </c>
      <c r="CY215" s="15">
        <v>0</v>
      </c>
      <c r="CZ215"/>
      <c r="DA215" s="15">
        <v>0</v>
      </c>
      <c r="DB215"/>
      <c r="DC215" s="15">
        <v>0</v>
      </c>
      <c r="DD215"/>
      <c r="DE215" s="15"/>
      <c r="DF215" s="15">
        <f t="shared" ref="DF215" si="1048">DC215+DE215</f>
        <v>0</v>
      </c>
      <c r="DG215"/>
      <c r="DH215" s="15"/>
      <c r="DI215" s="15">
        <f t="shared" ref="DI215" si="1049">DF215+DH215</f>
        <v>0</v>
      </c>
      <c r="DJ215"/>
      <c r="DK215" s="15"/>
      <c r="DL215" s="15">
        <f t="shared" ref="DL215" si="1050">DI215+DK215</f>
        <v>0</v>
      </c>
      <c r="DM215"/>
      <c r="DN215" s="15"/>
      <c r="DO215" s="15">
        <f t="shared" ref="DO215" si="1051">DL215+DN215</f>
        <v>0</v>
      </c>
      <c r="DP215"/>
      <c r="DQ215" s="15"/>
      <c r="DR215" s="15">
        <f t="shared" ref="DR215" si="1052">DO215+DQ215</f>
        <v>0</v>
      </c>
      <c r="DS215"/>
      <c r="DT215" s="15"/>
      <c r="DU215" s="15">
        <f t="shared" ref="DU215" si="1053">DR215+DT215</f>
        <v>0</v>
      </c>
      <c r="DV215"/>
      <c r="DW215" s="15"/>
      <c r="DX215" s="15">
        <f t="shared" ref="DX215" si="1054">DU215+DW215</f>
        <v>0</v>
      </c>
      <c r="DY215"/>
      <c r="DZ215" s="15"/>
      <c r="EA215" s="15">
        <f t="shared" ref="EA215" si="1055">DX215+DZ215</f>
        <v>0</v>
      </c>
      <c r="EB215"/>
      <c r="EC215" s="15"/>
      <c r="ED215" s="15">
        <f t="shared" ref="ED215" si="1056">EA215+EC215</f>
        <v>0</v>
      </c>
      <c r="EE215"/>
      <c r="EF215" s="15"/>
      <c r="EG215" s="15">
        <f t="shared" ref="EG215" si="1057">ED215+EF215</f>
        <v>0</v>
      </c>
      <c r="EH215"/>
      <c r="EI215" s="15"/>
      <c r="EJ215"/>
      <c r="EK215" s="15"/>
      <c r="EL215"/>
      <c r="EM215" s="15"/>
      <c r="EN215" s="15">
        <f t="shared" ref="EN215" si="1058">EK215+EM215</f>
        <v>0</v>
      </c>
      <c r="EO215"/>
      <c r="EP215" s="15"/>
      <c r="EQ215" s="15">
        <f t="shared" ref="EQ215" si="1059">EN215+EP215</f>
        <v>0</v>
      </c>
      <c r="ER215"/>
      <c r="ES215" s="15"/>
      <c r="ET215" s="15">
        <f t="shared" ref="ET215" si="1060">EQ215+ES215</f>
        <v>0</v>
      </c>
      <c r="EU215"/>
      <c r="EV215" s="15"/>
      <c r="EW215" s="15">
        <f t="shared" ref="EW215" si="1061">ET215+EV215</f>
        <v>0</v>
      </c>
      <c r="EX215"/>
      <c r="EY215" s="15"/>
      <c r="EZ215" s="15">
        <f t="shared" ref="EZ215" si="1062">EW215+EY215</f>
        <v>0</v>
      </c>
      <c r="FB215" s="15"/>
      <c r="FC215" s="15">
        <f t="shared" ref="FC215" si="1063">EZ215+FB215</f>
        <v>0</v>
      </c>
      <c r="FE215" s="15"/>
      <c r="FF215" s="15">
        <f t="shared" ref="FF215" si="1064">FC215+FE215</f>
        <v>0</v>
      </c>
      <c r="FH215" s="15"/>
      <c r="FI215" s="15">
        <f t="shared" ref="FI215" si="1065">FF215+FH215</f>
        <v>0</v>
      </c>
      <c r="FK215" s="15"/>
      <c r="FL215" s="15">
        <f t="shared" ref="FL215" si="1066">FI215+FK215</f>
        <v>0</v>
      </c>
      <c r="FN215" s="15"/>
      <c r="FO215" s="15">
        <f t="shared" ref="FO215" si="1067">FL215+FN215</f>
        <v>0</v>
      </c>
      <c r="FQ215" s="15"/>
      <c r="FR215" s="15">
        <v>0</v>
      </c>
      <c r="FT215" s="15"/>
      <c r="FV215" s="15"/>
      <c r="FY215" s="15"/>
      <c r="FZ215" s="15">
        <f>FV215+FY215</f>
        <v>0</v>
      </c>
      <c r="GB215" s="15"/>
      <c r="GC215" s="15">
        <f>FZ215+GB215</f>
        <v>0</v>
      </c>
      <c r="GE215" s="15"/>
      <c r="GF215" s="15">
        <f>GC215+GE215</f>
        <v>0</v>
      </c>
      <c r="GH215" s="15"/>
      <c r="GI215" s="15">
        <f>GF215+GH215</f>
        <v>0</v>
      </c>
      <c r="GK215" s="15"/>
      <c r="GL215" s="15">
        <f>GI215+GK215</f>
        <v>0</v>
      </c>
      <c r="GN215" s="15"/>
      <c r="GO215" s="15">
        <f>GL215+GN215</f>
        <v>0</v>
      </c>
      <c r="GQ215" s="15"/>
      <c r="GR215" s="15">
        <f>GO215+GQ215</f>
        <v>0</v>
      </c>
      <c r="GT215" s="15"/>
      <c r="GU215" s="15">
        <f>GR215+GT215</f>
        <v>0</v>
      </c>
      <c r="GW215" s="15"/>
      <c r="GX215" s="15">
        <f>GU215+GW215</f>
        <v>0</v>
      </c>
      <c r="GZ215" s="15"/>
      <c r="HA215" s="189">
        <f>GX215+GZ215</f>
        <v>0</v>
      </c>
      <c r="HB215"/>
      <c r="HC215" s="189"/>
      <c r="HD215"/>
      <c r="HE215" s="15"/>
    </row>
    <row r="216" spans="1:214" s="145" customFormat="1" ht="16.5" customHeight="1" thickBot="1">
      <c r="A216" s="54" t="s">
        <v>475</v>
      </c>
      <c r="B216" s="55" t="s">
        <v>316</v>
      </c>
      <c r="C216" s="283" t="s">
        <v>476</v>
      </c>
      <c r="D216" s="36"/>
      <c r="E216" s="51"/>
      <c r="F216" s="36"/>
      <c r="G216" s="51"/>
      <c r="H216" s="36"/>
      <c r="I216" s="36"/>
      <c r="J216" s="14"/>
      <c r="K216"/>
      <c r="L216" s="121"/>
      <c r="M216" s="176"/>
      <c r="N216" s="176"/>
      <c r="O216"/>
      <c r="P216"/>
      <c r="Q216" s="121"/>
      <c r="R216" s="121"/>
      <c r="S216" s="121"/>
      <c r="T216" s="121"/>
      <c r="U216" s="223"/>
      <c r="V216"/>
      <c r="W216"/>
      <c r="X216"/>
      <c r="Y216" s="121"/>
      <c r="Z216"/>
      <c r="AA216" s="121"/>
      <c r="AB216" s="121"/>
      <c r="AC216" s="188"/>
      <c r="AD216" s="188"/>
      <c r="AE216" s="121"/>
      <c r="AF216" s="187"/>
      <c r="AG216"/>
      <c r="AH216" s="121"/>
      <c r="AI216" s="224"/>
      <c r="AJ216"/>
      <c r="AK216" s="121"/>
      <c r="AL216" s="193"/>
      <c r="AM216" s="224"/>
      <c r="AN216" s="224"/>
      <c r="AO216"/>
      <c r="AP216"/>
      <c r="AQ216"/>
      <c r="AR216"/>
      <c r="AS216" s="121"/>
      <c r="AT216"/>
      <c r="AU216" s="122">
        <f>SUM(AU215)</f>
        <v>100000</v>
      </c>
      <c r="AV216" s="122">
        <f>SUM(AV215)</f>
        <v>100000</v>
      </c>
      <c r="AW216"/>
      <c r="AX216" s="122">
        <f>SUM(AX215)</f>
        <v>0</v>
      </c>
      <c r="AY216" s="122">
        <f>SUM(AY215)</f>
        <v>100000</v>
      </c>
      <c r="AZ216"/>
      <c r="BA216" s="122">
        <f>SUM(BA215)</f>
        <v>0</v>
      </c>
      <c r="BB216" s="122">
        <f>SUM(BB215)</f>
        <v>100000</v>
      </c>
      <c r="BC216"/>
      <c r="BD216" s="122">
        <f>SUM(BD215)</f>
        <v>0</v>
      </c>
      <c r="BE216" s="122">
        <f>SUM(BE215)</f>
        <v>100000</v>
      </c>
      <c r="BF216"/>
      <c r="BG216" s="122">
        <f>SUM(BG215)</f>
        <v>0</v>
      </c>
      <c r="BH216" s="122">
        <f>SUM(BH215)</f>
        <v>100000</v>
      </c>
      <c r="BI216"/>
      <c r="BJ216" s="122">
        <f>SUM(BJ215)</f>
        <v>100000</v>
      </c>
      <c r="BK216" s="236">
        <f t="shared" si="1045"/>
        <v>1</v>
      </c>
      <c r="BL216" s="234"/>
      <c r="BM216" s="122">
        <f>SUM(BM215)</f>
        <v>0</v>
      </c>
      <c r="BN216" s="236">
        <f t="shared" si="1046"/>
        <v>0</v>
      </c>
      <c r="BO216" s="236">
        <f t="shared" si="1047"/>
        <v>0</v>
      </c>
      <c r="BP216"/>
      <c r="BQ216" s="122">
        <f>SUM(BQ215)</f>
        <v>0</v>
      </c>
      <c r="BR216" s="122">
        <f>SUM(BR215)</f>
        <v>0</v>
      </c>
      <c r="BS216"/>
      <c r="BT216" s="122">
        <f>SUM(BT215)</f>
        <v>0</v>
      </c>
      <c r="BU216" s="122">
        <f>SUM(BU215)</f>
        <v>0</v>
      </c>
      <c r="BV216"/>
      <c r="BW216" s="122">
        <f>SUM(BW215)</f>
        <v>0</v>
      </c>
      <c r="BX216" s="122">
        <f>SUM(BX215)</f>
        <v>0</v>
      </c>
      <c r="BY216"/>
      <c r="BZ216" s="122">
        <f>SUM(BZ215)</f>
        <v>0</v>
      </c>
      <c r="CA216" s="122">
        <f>SUM(CA215)</f>
        <v>0</v>
      </c>
      <c r="CB216"/>
      <c r="CC216" s="122">
        <f>SUM(CC215)</f>
        <v>0</v>
      </c>
      <c r="CD216" s="122">
        <f>SUM(CD215)</f>
        <v>0</v>
      </c>
      <c r="CE216"/>
      <c r="CF216" s="122">
        <f>SUM(CF215)</f>
        <v>0</v>
      </c>
      <c r="CG216" s="122">
        <f>SUM(CG215)</f>
        <v>0</v>
      </c>
      <c r="CH216"/>
      <c r="CI216" s="122">
        <f>SUM(CI215)</f>
        <v>0</v>
      </c>
      <c r="CJ216" s="122">
        <f>SUM(CJ215)</f>
        <v>0</v>
      </c>
      <c r="CK216"/>
      <c r="CL216" s="319">
        <f>SUM(CL215)</f>
        <v>0</v>
      </c>
      <c r="CM216" s="122">
        <f>SUM(CM215)</f>
        <v>0</v>
      </c>
      <c r="CN216"/>
      <c r="CO216" s="122">
        <f>SUM(CO215)</f>
        <v>0</v>
      </c>
      <c r="CP216" s="122">
        <f>SUM(CP215)</f>
        <v>0</v>
      </c>
      <c r="CQ216"/>
      <c r="CR216" s="122">
        <f>SUM(CR215)</f>
        <v>0</v>
      </c>
      <c r="CS216" s="122">
        <f>SUM(CS215)</f>
        <v>0</v>
      </c>
      <c r="CT216"/>
      <c r="CU216" s="122">
        <f>SUM(CU215)</f>
        <v>0</v>
      </c>
      <c r="CV216" s="122">
        <f>SUM(CV215)</f>
        <v>0</v>
      </c>
      <c r="CW216"/>
      <c r="CX216" s="122">
        <f>SUM(CX215)</f>
        <v>0</v>
      </c>
      <c r="CY216" s="122">
        <f>SUM(CY215)</f>
        <v>0</v>
      </c>
      <c r="CZ216"/>
      <c r="DA216" s="122">
        <f>SUM(DA215)</f>
        <v>0</v>
      </c>
      <c r="DB216"/>
      <c r="DC216" s="122">
        <f>SUM(DC215)</f>
        <v>0</v>
      </c>
      <c r="DD216"/>
      <c r="DE216" s="122">
        <f>SUM(DE215)</f>
        <v>0</v>
      </c>
      <c r="DF216" s="122">
        <f>SUM(DF215)</f>
        <v>0</v>
      </c>
      <c r="DG216"/>
      <c r="DH216" s="122">
        <f>SUM(DH215)</f>
        <v>0</v>
      </c>
      <c r="DI216" s="122">
        <f>SUM(DI215)</f>
        <v>0</v>
      </c>
      <c r="DJ216"/>
      <c r="DK216" s="122">
        <f>SUM(DK215)</f>
        <v>0</v>
      </c>
      <c r="DL216" s="122">
        <f>SUM(DL215)</f>
        <v>0</v>
      </c>
      <c r="DM216"/>
      <c r="DN216" s="122">
        <f>SUM(DN215)</f>
        <v>0</v>
      </c>
      <c r="DO216" s="122">
        <f>SUM(DO215)</f>
        <v>0</v>
      </c>
      <c r="DP216"/>
      <c r="DQ216" s="122">
        <f>SUM(DQ215)</f>
        <v>0</v>
      </c>
      <c r="DR216" s="122">
        <f>SUM(DR215)</f>
        <v>0</v>
      </c>
      <c r="DS216"/>
      <c r="DT216" s="122">
        <f>SUM(DT215)</f>
        <v>0</v>
      </c>
      <c r="DU216" s="122">
        <f>SUM(DU215)</f>
        <v>0</v>
      </c>
      <c r="DV216"/>
      <c r="DW216" s="122">
        <f>SUM(DW215)</f>
        <v>0</v>
      </c>
      <c r="DX216" s="122">
        <f>SUM(DX215)</f>
        <v>0</v>
      </c>
      <c r="DY216"/>
      <c r="DZ216" s="122">
        <f>SUM(DZ215)</f>
        <v>0</v>
      </c>
      <c r="EA216" s="122">
        <f>SUM(EA215)</f>
        <v>0</v>
      </c>
      <c r="EB216"/>
      <c r="EC216" s="122">
        <f>SUM(EC215)</f>
        <v>0</v>
      </c>
      <c r="ED216" s="122">
        <f>SUM(ED215)</f>
        <v>0</v>
      </c>
      <c r="EE216"/>
      <c r="EF216" s="122">
        <f>SUM(EF215)</f>
        <v>0</v>
      </c>
      <c r="EG216" s="122">
        <f>SUM(EG215)</f>
        <v>0</v>
      </c>
      <c r="EH216"/>
      <c r="EI216" s="122">
        <f>SUM(EI215)</f>
        <v>0</v>
      </c>
      <c r="EJ216"/>
      <c r="EK216" s="122">
        <f>SUM(EK215)</f>
        <v>0</v>
      </c>
      <c r="EL216"/>
      <c r="EM216" s="122">
        <f>SUM(EM215)</f>
        <v>0</v>
      </c>
      <c r="EN216" s="122">
        <f>SUM(EN215)</f>
        <v>0</v>
      </c>
      <c r="EO216"/>
      <c r="EP216" s="122">
        <f>SUM(EP215)</f>
        <v>0</v>
      </c>
      <c r="EQ216" s="122">
        <f>SUM(EQ215)</f>
        <v>0</v>
      </c>
      <c r="ER216"/>
      <c r="ES216" s="122">
        <f>SUM(ES215)</f>
        <v>0</v>
      </c>
      <c r="ET216" s="122">
        <f>SUM(ET215)</f>
        <v>0</v>
      </c>
      <c r="EU216"/>
      <c r="EV216" s="122">
        <f>SUM(EV215)</f>
        <v>0</v>
      </c>
      <c r="EW216" s="122">
        <f>SUM(EW215)</f>
        <v>0</v>
      </c>
      <c r="EX216"/>
      <c r="EY216" s="122">
        <f>SUM(EY215)</f>
        <v>0</v>
      </c>
      <c r="EZ216" s="122">
        <f>SUM(EZ215)</f>
        <v>0</v>
      </c>
      <c r="FB216" s="122">
        <f>SUM(FB215)</f>
        <v>0</v>
      </c>
      <c r="FC216" s="122">
        <f>SUM(FC215)</f>
        <v>0</v>
      </c>
      <c r="FE216" s="122">
        <f>SUM(FE215)</f>
        <v>0</v>
      </c>
      <c r="FF216" s="122">
        <f>SUM(FF215)</f>
        <v>0</v>
      </c>
      <c r="FH216" s="122">
        <f>SUM(FH215)</f>
        <v>0</v>
      </c>
      <c r="FI216" s="122">
        <f>SUM(FI215)</f>
        <v>0</v>
      </c>
      <c r="FK216" s="122">
        <f>SUM(FK215)</f>
        <v>0</v>
      </c>
      <c r="FL216" s="122">
        <f>SUM(FL215)</f>
        <v>0</v>
      </c>
      <c r="FN216" s="122">
        <f>SUM(FN215)</f>
        <v>0</v>
      </c>
      <c r="FO216" s="122">
        <f>SUM(FO215)</f>
        <v>0</v>
      </c>
      <c r="FQ216" s="122">
        <v>0</v>
      </c>
      <c r="FR216" s="122">
        <v>0</v>
      </c>
      <c r="FT216" s="122">
        <f>SUM(FT215)</f>
        <v>0</v>
      </c>
      <c r="FV216" s="122">
        <f>SUM(FV215)</f>
        <v>0</v>
      </c>
      <c r="FW216" s="235" t="e">
        <f t="shared" ref="FW216:FW245" si="1068">FV216/FT216</f>
        <v>#DIV/0!</v>
      </c>
      <c r="FY216" s="122">
        <f t="shared" ref="FY216:FZ216" si="1069">SUM(FY215)</f>
        <v>0</v>
      </c>
      <c r="FZ216" s="122">
        <f t="shared" si="1069"/>
        <v>0</v>
      </c>
      <c r="GB216" s="122">
        <f t="shared" ref="GB216:GC216" si="1070">SUM(GB215)</f>
        <v>0</v>
      </c>
      <c r="GC216" s="122">
        <f t="shared" si="1070"/>
        <v>0</v>
      </c>
      <c r="GE216" s="122">
        <f t="shared" ref="GE216:GF216" si="1071">SUM(GE215)</f>
        <v>0</v>
      </c>
      <c r="GF216" s="122">
        <f t="shared" si="1071"/>
        <v>0</v>
      </c>
      <c r="GH216" s="122">
        <f t="shared" ref="GH216:GI216" si="1072">SUM(GH215)</f>
        <v>0</v>
      </c>
      <c r="GI216" s="122">
        <f t="shared" si="1072"/>
        <v>0</v>
      </c>
      <c r="GK216" s="122">
        <f t="shared" ref="GK216:GL216" si="1073">SUM(GK215)</f>
        <v>0</v>
      </c>
      <c r="GL216" s="122">
        <f t="shared" si="1073"/>
        <v>0</v>
      </c>
      <c r="GN216" s="122">
        <f t="shared" ref="GN216:GO216" si="1074">SUM(GN215)</f>
        <v>0</v>
      </c>
      <c r="GO216" s="122">
        <f t="shared" si="1074"/>
        <v>0</v>
      </c>
      <c r="GQ216" s="122">
        <f t="shared" ref="GQ216:GR216" si="1075">SUM(GQ215)</f>
        <v>0</v>
      </c>
      <c r="GR216" s="122">
        <f t="shared" si="1075"/>
        <v>0</v>
      </c>
      <c r="GT216" s="122">
        <f t="shared" ref="GT216:GU216" si="1076">SUM(GT215)</f>
        <v>0</v>
      </c>
      <c r="GU216" s="122">
        <f t="shared" si="1076"/>
        <v>0</v>
      </c>
      <c r="GW216" s="122">
        <f t="shared" ref="GW216:GX216" si="1077">SUM(GW215)</f>
        <v>0</v>
      </c>
      <c r="GX216" s="122">
        <f t="shared" si="1077"/>
        <v>0</v>
      </c>
      <c r="GZ216" s="122">
        <f t="shared" ref="GZ216:HA216" si="1078">SUM(GZ215)</f>
        <v>0</v>
      </c>
      <c r="HA216" s="430">
        <f t="shared" si="1078"/>
        <v>0</v>
      </c>
      <c r="HB216"/>
      <c r="HC216" s="122">
        <f>SUM(HC215)</f>
        <v>0</v>
      </c>
      <c r="HD216"/>
      <c r="HE216" s="122">
        <f>SUM(HE215)</f>
        <v>0</v>
      </c>
      <c r="HF216" s="235" t="e">
        <f t="shared" ref="HF216:HF235" si="1079">HE216/HC216</f>
        <v>#DIV/0!</v>
      </c>
    </row>
    <row r="217" spans="1:214" ht="15.75" outlineLevel="1" thickTop="1">
      <c r="A217" s="1" t="s">
        <v>201</v>
      </c>
      <c r="B217" s="1" t="s">
        <v>202</v>
      </c>
      <c r="C217" s="4" t="s">
        <v>203</v>
      </c>
      <c r="D217" s="43">
        <v>2000</v>
      </c>
      <c r="E217" s="34">
        <v>31.55</v>
      </c>
      <c r="F217" s="43">
        <v>2000</v>
      </c>
      <c r="G217" s="34">
        <v>31.55</v>
      </c>
      <c r="H217" s="46">
        <v>631</v>
      </c>
      <c r="I217" s="36">
        <f>H217</f>
        <v>631</v>
      </c>
      <c r="J217" s="14"/>
      <c r="L217" s="118">
        <v>2000</v>
      </c>
      <c r="M217" s="17">
        <f t="shared" si="960"/>
        <v>0</v>
      </c>
      <c r="N217" s="17">
        <f t="shared" si="961"/>
        <v>2.1695721077654517</v>
      </c>
      <c r="Q217" s="118">
        <v>2000</v>
      </c>
      <c r="R217" s="15">
        <v>0</v>
      </c>
      <c r="S217" s="118">
        <v>2000</v>
      </c>
      <c r="T217" s="15">
        <f t="shared" ref="T217:T237" si="1080">S217-Q217</f>
        <v>0</v>
      </c>
      <c r="U217" s="16">
        <f t="shared" si="1003"/>
        <v>0</v>
      </c>
      <c r="Y217" s="118">
        <v>2000</v>
      </c>
      <c r="AA217" s="118">
        <v>500</v>
      </c>
      <c r="AB217" s="185">
        <f t="shared" ref="AB217:AB237" si="1081">AA217-Y217</f>
        <v>-1500</v>
      </c>
      <c r="AC217" s="187">
        <f t="shared" ref="AC217:AC231" si="1082">AA217-Y217</f>
        <v>-1500</v>
      </c>
      <c r="AD217" s="187"/>
      <c r="AE217" s="118">
        <v>500</v>
      </c>
      <c r="AF217" s="182"/>
      <c r="AH217" s="15">
        <v>404.2</v>
      </c>
      <c r="AI217" s="17">
        <f t="shared" si="1004"/>
        <v>0.80840000000000001</v>
      </c>
      <c r="AK217" s="118">
        <v>2000</v>
      </c>
      <c r="AS217" s="15">
        <f t="shared" ref="AS217:AS230" si="1083">AR217+AK217</f>
        <v>2000</v>
      </c>
      <c r="AV217" s="15">
        <f t="shared" si="1040"/>
        <v>2000</v>
      </c>
      <c r="AX217" s="15"/>
      <c r="AY217" s="15">
        <f t="shared" ref="AY217:AY230" si="1084">AV217+AX217</f>
        <v>2000</v>
      </c>
      <c r="BB217" s="15">
        <f t="shared" ref="BB217:BB230" si="1085">AY217+BA217</f>
        <v>2000</v>
      </c>
      <c r="BD217" s="15"/>
      <c r="BE217" s="15">
        <f t="shared" ref="BE217:BE230" si="1086">BB217+BD217</f>
        <v>2000</v>
      </c>
      <c r="BG217" s="15"/>
      <c r="BH217" s="15">
        <f t="shared" ref="BH217:BH230" si="1087">BE217+BG217</f>
        <v>2000</v>
      </c>
      <c r="BJ217" s="15">
        <v>0</v>
      </c>
      <c r="BK217" s="235">
        <f t="shared" ref="BK217:BK230" si="1088">BJ217/BH217</f>
        <v>0</v>
      </c>
      <c r="BM217" s="15">
        <v>0</v>
      </c>
      <c r="BN217" s="235" t="e">
        <f t="shared" si="1046"/>
        <v>#DIV/0!</v>
      </c>
      <c r="BO217" s="235">
        <f t="shared" si="1047"/>
        <v>0</v>
      </c>
      <c r="BQ217" s="15"/>
      <c r="BR217" s="15">
        <f t="shared" ref="BR217:BR237" si="1089">BM217+BQ217</f>
        <v>0</v>
      </c>
      <c r="BT217" s="15"/>
      <c r="BU217" s="15">
        <f t="shared" ref="BU217:BU237" si="1090">BR217+BT217</f>
        <v>0</v>
      </c>
      <c r="BW217" s="15"/>
      <c r="BX217" s="15">
        <f t="shared" ref="BX217:BX237" si="1091">BU217+BW217</f>
        <v>0</v>
      </c>
      <c r="BZ217" s="15"/>
      <c r="CA217" s="15">
        <f t="shared" ref="CA217:CA237" si="1092">BX217+BZ217</f>
        <v>0</v>
      </c>
      <c r="CC217" s="15"/>
      <c r="CD217" s="15">
        <f t="shared" ref="CD217:CD237" si="1093">CA217+CC217</f>
        <v>0</v>
      </c>
      <c r="CF217" s="15"/>
      <c r="CG217" s="15">
        <f t="shared" ref="CG217:CG237" si="1094">CD217+CF217</f>
        <v>0</v>
      </c>
      <c r="CI217" s="15"/>
      <c r="CJ217" s="15">
        <f t="shared" ref="CJ217:CJ237" si="1095">CG217+CI217</f>
        <v>0</v>
      </c>
      <c r="CM217" s="15">
        <f t="shared" ref="CM217:CM237" si="1096">CJ217+CL217</f>
        <v>0</v>
      </c>
      <c r="CP217" s="15">
        <f t="shared" ref="CP217:CP237" si="1097">CM217+CO217</f>
        <v>0</v>
      </c>
      <c r="CS217" s="15">
        <f t="shared" ref="CS217:CS237" si="1098">CP217+CR217</f>
        <v>0</v>
      </c>
      <c r="CV217" s="15">
        <f t="shared" ref="CV217:CV237" si="1099">CS217+CU217</f>
        <v>0</v>
      </c>
      <c r="CY217" s="15">
        <f t="shared" ref="CY217:CY237" si="1100">CV217+CX217</f>
        <v>0</v>
      </c>
      <c r="DC217" s="15">
        <v>5000</v>
      </c>
      <c r="DE217" s="15"/>
      <c r="DF217" s="15">
        <f t="shared" ref="DF217:DF218" si="1101">DC217+DE217</f>
        <v>5000</v>
      </c>
      <c r="DH217" s="15"/>
      <c r="DI217" s="15">
        <f t="shared" ref="DI217:DI218" si="1102">DF217+DH217</f>
        <v>5000</v>
      </c>
      <c r="DK217" s="15"/>
      <c r="DL217" s="15">
        <f t="shared" ref="DL217:DL218" si="1103">DI217+DK217</f>
        <v>5000</v>
      </c>
      <c r="DN217" s="15"/>
      <c r="DO217" s="15">
        <f t="shared" ref="DO217:DO218" si="1104">DL217+DN217</f>
        <v>5000</v>
      </c>
      <c r="DQ217" s="15"/>
      <c r="DR217" s="15">
        <f t="shared" ref="DR217:DR218" si="1105">DO217+DQ217</f>
        <v>5000</v>
      </c>
      <c r="DT217" s="15"/>
      <c r="DU217" s="15">
        <f t="shared" ref="DU217:DU218" si="1106">DR217+DT217</f>
        <v>5000</v>
      </c>
      <c r="DW217" s="15"/>
      <c r="DX217" s="15">
        <f t="shared" ref="DX217:DX218" si="1107">DU217+DW217</f>
        <v>5000</v>
      </c>
      <c r="DZ217" s="15"/>
      <c r="EA217" s="15">
        <f t="shared" ref="EA217:EA218" si="1108">DX217+DZ217</f>
        <v>5000</v>
      </c>
      <c r="EC217" s="15"/>
      <c r="ED217" s="15">
        <f t="shared" ref="ED217:ED218" si="1109">EA217+EC217</f>
        <v>5000</v>
      </c>
      <c r="EF217" s="227">
        <v>-1500</v>
      </c>
      <c r="EG217" s="15">
        <f t="shared" ref="EG217:EG218" si="1110">ED217+EF217</f>
        <v>3500</v>
      </c>
      <c r="EI217" s="15">
        <v>3376.36</v>
      </c>
      <c r="EK217" s="15">
        <v>3500</v>
      </c>
      <c r="EM217" s="15"/>
      <c r="EN217" s="15">
        <f t="shared" ref="EN217:EN218" si="1111">EK217+EM217</f>
        <v>3500</v>
      </c>
      <c r="EP217" s="15"/>
      <c r="EQ217" s="15">
        <f t="shared" ref="EQ217:EQ218" si="1112">EN217+EP217</f>
        <v>3500</v>
      </c>
      <c r="ES217" s="15"/>
      <c r="ET217" s="15">
        <f t="shared" ref="ET217:ET218" si="1113">EQ217+ES217</f>
        <v>3500</v>
      </c>
      <c r="EW217" s="15">
        <f t="shared" ref="EW217:EW218" si="1114">ET217+EV217</f>
        <v>3500</v>
      </c>
      <c r="EZ217" s="15">
        <f t="shared" ref="EZ217:EZ218" si="1115">EW217+EY217</f>
        <v>3500</v>
      </c>
      <c r="FC217" s="15">
        <f t="shared" ref="FC217:FC218" si="1116">EZ217+FB217</f>
        <v>3500</v>
      </c>
      <c r="FF217" s="15">
        <f t="shared" ref="FF217:FF218" si="1117">FC217+FE217</f>
        <v>3500</v>
      </c>
      <c r="FH217" s="227">
        <v>3000</v>
      </c>
      <c r="FI217" s="15">
        <f t="shared" ref="FI217:FI218" si="1118">FF217+FH217</f>
        <v>6500</v>
      </c>
      <c r="FK217" s="227">
        <v>12000</v>
      </c>
      <c r="FL217" s="15">
        <f t="shared" ref="FL217:FL218" si="1119">FI217+FK217</f>
        <v>18500</v>
      </c>
      <c r="FO217" s="15">
        <f t="shared" ref="FO217:FO218" si="1120">FL217+FN217</f>
        <v>18500</v>
      </c>
      <c r="FR217" s="15">
        <v>18500</v>
      </c>
      <c r="FT217" s="15">
        <v>8282.08</v>
      </c>
      <c r="FV217" s="15">
        <v>8000</v>
      </c>
      <c r="FW217" s="235">
        <f t="shared" si="1068"/>
        <v>0.96594092305314605</v>
      </c>
      <c r="FZ217" s="15">
        <f>FV217+FY217</f>
        <v>8000</v>
      </c>
      <c r="GB217" s="15"/>
      <c r="GC217" s="15">
        <f>FZ217+GB217</f>
        <v>8000</v>
      </c>
      <c r="GE217" s="15"/>
      <c r="GF217" s="15">
        <f>GC217+GE217</f>
        <v>8000</v>
      </c>
      <c r="GH217" s="15"/>
      <c r="GI217" s="15">
        <f>GF217+GH217</f>
        <v>8000</v>
      </c>
      <c r="GK217" s="15"/>
      <c r="GL217" s="15">
        <f>GI217+GK217</f>
        <v>8000</v>
      </c>
      <c r="GN217" s="15"/>
      <c r="GO217" s="15">
        <f>GL217+GN217</f>
        <v>8000</v>
      </c>
      <c r="GQ217" s="15"/>
      <c r="GR217" s="15">
        <f>GO217+GQ217</f>
        <v>8000</v>
      </c>
      <c r="GT217" s="15"/>
      <c r="GU217" s="15">
        <f>GR217+GT217</f>
        <v>8000</v>
      </c>
      <c r="GW217" s="15"/>
      <c r="GX217" s="15">
        <f>GU217+GW217</f>
        <v>8000</v>
      </c>
      <c r="GZ217" s="15"/>
      <c r="HA217" s="189">
        <f>GX217+GZ217</f>
        <v>8000</v>
      </c>
      <c r="HC217" s="189">
        <v>0</v>
      </c>
      <c r="HE217" s="15">
        <v>8000</v>
      </c>
      <c r="HF217" s="235" t="e">
        <f t="shared" si="1079"/>
        <v>#DIV/0!</v>
      </c>
    </row>
    <row r="218" spans="1:214" outlineLevel="1">
      <c r="A218" s="1" t="s">
        <v>201</v>
      </c>
      <c r="B218" s="1" t="s">
        <v>204</v>
      </c>
      <c r="C218" s="4" t="s">
        <v>205</v>
      </c>
      <c r="D218" s="43">
        <v>500</v>
      </c>
      <c r="E218" s="34">
        <v>43</v>
      </c>
      <c r="F218" s="43">
        <v>500</v>
      </c>
      <c r="G218" s="34">
        <v>43</v>
      </c>
      <c r="H218" s="46">
        <v>215</v>
      </c>
      <c r="I218" s="36">
        <f>H218</f>
        <v>215</v>
      </c>
      <c r="J218" s="14"/>
      <c r="L218" s="118">
        <v>500</v>
      </c>
      <c r="M218" s="17">
        <f t="shared" si="960"/>
        <v>0</v>
      </c>
      <c r="N218" s="17">
        <f t="shared" si="961"/>
        <v>1.3255813953488373</v>
      </c>
      <c r="Q218" s="118">
        <v>500</v>
      </c>
      <c r="R218" s="15">
        <v>0</v>
      </c>
      <c r="S218" s="118">
        <v>500</v>
      </c>
      <c r="T218" s="15">
        <f t="shared" si="1080"/>
        <v>0</v>
      </c>
      <c r="U218" s="16">
        <f t="shared" si="1003"/>
        <v>0</v>
      </c>
      <c r="Y218" s="118">
        <v>500</v>
      </c>
      <c r="AA218" s="118">
        <v>150</v>
      </c>
      <c r="AB218" s="185">
        <f t="shared" si="1081"/>
        <v>-350</v>
      </c>
      <c r="AC218" s="187">
        <f t="shared" si="1082"/>
        <v>-350</v>
      </c>
      <c r="AD218" s="187"/>
      <c r="AE218" s="118">
        <v>150</v>
      </c>
      <c r="AF218" s="182"/>
      <c r="AH218" s="15">
        <v>136.80000000000001</v>
      </c>
      <c r="AI218" s="17">
        <f t="shared" si="1004"/>
        <v>0.91200000000000003</v>
      </c>
      <c r="AK218" s="118">
        <v>600</v>
      </c>
      <c r="AS218" s="15">
        <f t="shared" si="1083"/>
        <v>600</v>
      </c>
      <c r="AV218" s="15">
        <f t="shared" si="1040"/>
        <v>600</v>
      </c>
      <c r="AX218" s="15"/>
      <c r="AY218" s="15">
        <f t="shared" si="1084"/>
        <v>600</v>
      </c>
      <c r="BB218" s="15">
        <f t="shared" si="1085"/>
        <v>600</v>
      </c>
      <c r="BD218" s="15"/>
      <c r="BE218" s="15">
        <f t="shared" si="1086"/>
        <v>600</v>
      </c>
      <c r="BG218" s="15"/>
      <c r="BH218" s="15">
        <f t="shared" si="1087"/>
        <v>600</v>
      </c>
      <c r="BJ218" s="15">
        <v>0</v>
      </c>
      <c r="BK218" s="235">
        <f t="shared" si="1088"/>
        <v>0</v>
      </c>
      <c r="BM218" s="15">
        <v>0</v>
      </c>
      <c r="BN218" s="235" t="e">
        <f t="shared" si="1046"/>
        <v>#DIV/0!</v>
      </c>
      <c r="BO218" s="235">
        <f t="shared" si="1047"/>
        <v>0</v>
      </c>
      <c r="BQ218" s="15"/>
      <c r="BR218" s="15">
        <f t="shared" si="1089"/>
        <v>0</v>
      </c>
      <c r="BT218" s="15"/>
      <c r="BU218" s="15">
        <f t="shared" si="1090"/>
        <v>0</v>
      </c>
      <c r="BW218" s="15"/>
      <c r="BX218" s="15">
        <f t="shared" si="1091"/>
        <v>0</v>
      </c>
      <c r="BZ218" s="15"/>
      <c r="CA218" s="15">
        <f t="shared" si="1092"/>
        <v>0</v>
      </c>
      <c r="CC218" s="15"/>
      <c r="CD218" s="15">
        <f t="shared" si="1093"/>
        <v>0</v>
      </c>
      <c r="CF218" s="15"/>
      <c r="CG218" s="15">
        <f t="shared" si="1094"/>
        <v>0</v>
      </c>
      <c r="CI218" s="15"/>
      <c r="CJ218" s="15">
        <f t="shared" si="1095"/>
        <v>0</v>
      </c>
      <c r="CM218" s="15">
        <f t="shared" si="1096"/>
        <v>0</v>
      </c>
      <c r="CP218" s="15">
        <f t="shared" si="1097"/>
        <v>0</v>
      </c>
      <c r="CS218" s="15">
        <f t="shared" si="1098"/>
        <v>0</v>
      </c>
      <c r="CV218" s="15">
        <f t="shared" si="1099"/>
        <v>0</v>
      </c>
      <c r="CY218" s="15">
        <f t="shared" si="1100"/>
        <v>0</v>
      </c>
      <c r="DE218" s="15"/>
      <c r="DF218" s="15">
        <f t="shared" si="1101"/>
        <v>0</v>
      </c>
      <c r="DH218" s="15"/>
      <c r="DI218" s="15">
        <f t="shared" si="1102"/>
        <v>0</v>
      </c>
      <c r="DK218" s="15"/>
      <c r="DL218" s="15">
        <f t="shared" si="1103"/>
        <v>0</v>
      </c>
      <c r="DN218" s="15"/>
      <c r="DO218" s="15">
        <f t="shared" si="1104"/>
        <v>0</v>
      </c>
      <c r="DQ218" s="227">
        <v>1000</v>
      </c>
      <c r="DR218" s="15">
        <f t="shared" si="1105"/>
        <v>1000</v>
      </c>
      <c r="DT218" s="15"/>
      <c r="DU218" s="15">
        <f t="shared" si="1106"/>
        <v>1000</v>
      </c>
      <c r="DW218" s="15"/>
      <c r="DX218" s="15">
        <f t="shared" si="1107"/>
        <v>1000</v>
      </c>
      <c r="DZ218" s="227">
        <v>150</v>
      </c>
      <c r="EA218" s="15">
        <f t="shared" si="1108"/>
        <v>1150</v>
      </c>
      <c r="EC218" s="15"/>
      <c r="ED218" s="15">
        <f t="shared" si="1109"/>
        <v>1150</v>
      </c>
      <c r="EF218" s="15"/>
      <c r="EG218" s="15">
        <f t="shared" si="1110"/>
        <v>1150</v>
      </c>
      <c r="EI218" s="15">
        <v>1141.6400000000001</v>
      </c>
      <c r="EK218" s="15">
        <v>1200</v>
      </c>
      <c r="EM218" s="15"/>
      <c r="EN218" s="15">
        <f t="shared" si="1111"/>
        <v>1200</v>
      </c>
      <c r="EP218" s="15"/>
      <c r="EQ218" s="15">
        <f t="shared" si="1112"/>
        <v>1200</v>
      </c>
      <c r="ES218" s="15"/>
      <c r="ET218" s="15">
        <f t="shared" si="1113"/>
        <v>1200</v>
      </c>
      <c r="EW218" s="15">
        <f t="shared" si="1114"/>
        <v>1200</v>
      </c>
      <c r="EZ218" s="15">
        <f t="shared" si="1115"/>
        <v>1200</v>
      </c>
      <c r="FC218" s="15">
        <f t="shared" si="1116"/>
        <v>1200</v>
      </c>
      <c r="FF218" s="15">
        <f t="shared" si="1117"/>
        <v>1200</v>
      </c>
      <c r="FH218" s="227">
        <v>1000</v>
      </c>
      <c r="FI218" s="15">
        <f t="shared" si="1118"/>
        <v>2200</v>
      </c>
      <c r="FK218" s="227">
        <v>3000</v>
      </c>
      <c r="FL218" s="15">
        <f t="shared" si="1119"/>
        <v>5200</v>
      </c>
      <c r="FO218" s="15">
        <f t="shared" si="1120"/>
        <v>5200</v>
      </c>
      <c r="FR218" s="15">
        <v>5200</v>
      </c>
      <c r="FT218" s="15">
        <v>2799.92</v>
      </c>
      <c r="FV218" s="15">
        <v>3000</v>
      </c>
      <c r="FW218" s="235">
        <f t="shared" si="1068"/>
        <v>1.0714591845481298</v>
      </c>
      <c r="FZ218" s="15">
        <f>FV218+FY218</f>
        <v>3000</v>
      </c>
      <c r="GB218" s="15"/>
      <c r="GC218" s="15">
        <f>FZ218+GB218</f>
        <v>3000</v>
      </c>
      <c r="GE218" s="15"/>
      <c r="GF218" s="15">
        <f>GC218+GE218</f>
        <v>3000</v>
      </c>
      <c r="GH218" s="15"/>
      <c r="GI218" s="15">
        <f>GF218+GH218</f>
        <v>3000</v>
      </c>
      <c r="GK218" s="15"/>
      <c r="GL218" s="15">
        <f>GI218+GK218</f>
        <v>3000</v>
      </c>
      <c r="GN218" s="15"/>
      <c r="GO218" s="15">
        <f>GL218+GN218</f>
        <v>3000</v>
      </c>
      <c r="GQ218" s="15"/>
      <c r="GR218" s="15">
        <f>GO218+GQ218</f>
        <v>3000</v>
      </c>
      <c r="GT218" s="15"/>
      <c r="GU218" s="15">
        <f>GR218+GT218</f>
        <v>3000</v>
      </c>
      <c r="GW218" s="15"/>
      <c r="GX218" s="15">
        <f>GU218+GW218</f>
        <v>3000</v>
      </c>
      <c r="GZ218" s="15"/>
      <c r="HA218" s="189">
        <f>GX218+GZ218</f>
        <v>3000</v>
      </c>
      <c r="HC218" s="189">
        <v>0</v>
      </c>
      <c r="HE218" s="15">
        <v>3000</v>
      </c>
      <c r="HF218" s="235" t="e">
        <f t="shared" si="1079"/>
        <v>#DIV/0!</v>
      </c>
    </row>
    <row r="219" spans="1:214" outlineLevel="1">
      <c r="A219" s="1" t="s">
        <v>201</v>
      </c>
      <c r="B219" s="1" t="s">
        <v>189</v>
      </c>
      <c r="C219" s="4" t="s">
        <v>190</v>
      </c>
      <c r="D219" s="43"/>
      <c r="E219" s="34"/>
      <c r="F219" s="43"/>
      <c r="G219" s="34"/>
      <c r="H219" s="46"/>
      <c r="I219" s="36"/>
      <c r="J219" s="14"/>
      <c r="M219" s="17"/>
      <c r="N219" s="17"/>
      <c r="U219" s="16"/>
      <c r="Y219" s="118"/>
      <c r="AB219" s="185"/>
      <c r="AC219" s="187"/>
      <c r="AD219" s="187"/>
      <c r="AF219" s="182"/>
      <c r="AH219" s="15"/>
      <c r="AI219" s="17"/>
      <c r="AS219" s="15"/>
      <c r="AV219" s="15"/>
      <c r="AX219" s="15"/>
      <c r="AY219" s="15"/>
      <c r="BB219" s="15"/>
      <c r="BD219" s="15"/>
      <c r="BE219" s="15"/>
      <c r="BG219" s="15"/>
      <c r="BH219" s="15"/>
      <c r="BK219" s="235"/>
      <c r="BM219" s="15"/>
      <c r="BN219" s="235"/>
      <c r="BO219" s="235"/>
      <c r="BQ219" s="15"/>
      <c r="BR219" s="15"/>
      <c r="BT219" s="15"/>
      <c r="BU219" s="15"/>
      <c r="BW219" s="15"/>
      <c r="BX219" s="15"/>
      <c r="BZ219" s="15"/>
      <c r="CA219" s="15"/>
      <c r="CC219" s="15"/>
      <c r="CD219" s="15"/>
      <c r="CF219" s="15"/>
      <c r="CG219" s="15"/>
      <c r="CI219" s="15"/>
      <c r="CJ219" s="15"/>
      <c r="CM219" s="15"/>
      <c r="CO219" s="15">
        <v>2500</v>
      </c>
      <c r="CP219" s="15">
        <f t="shared" si="1097"/>
        <v>2500</v>
      </c>
      <c r="CS219" s="15">
        <f t="shared" si="1098"/>
        <v>2500</v>
      </c>
      <c r="CV219" s="15">
        <f t="shared" si="1099"/>
        <v>2500</v>
      </c>
      <c r="CY219" s="15">
        <f t="shared" si="1100"/>
        <v>2500</v>
      </c>
      <c r="DA219" s="15">
        <v>2244</v>
      </c>
      <c r="DE219" s="15"/>
      <c r="DF219" s="15"/>
      <c r="DH219" s="15"/>
      <c r="DI219" s="15"/>
      <c r="DK219" s="15"/>
      <c r="DL219" s="15"/>
      <c r="DN219" s="15"/>
      <c r="DO219" s="15"/>
      <c r="DQ219" s="15"/>
      <c r="DR219" s="15"/>
      <c r="DT219" s="15"/>
      <c r="DU219" s="15"/>
      <c r="DW219" s="15"/>
      <c r="DX219" s="15"/>
      <c r="DZ219" s="15"/>
      <c r="EA219" s="15"/>
      <c r="EC219" s="15"/>
      <c r="ED219" s="15"/>
      <c r="EF219" s="15"/>
      <c r="EG219" s="15"/>
      <c r="EK219" s="15"/>
      <c r="EM219" s="15"/>
      <c r="EN219" s="15"/>
      <c r="EP219" s="15"/>
      <c r="EQ219" s="15"/>
      <c r="ES219" s="15"/>
      <c r="ET219" s="15"/>
      <c r="EW219" s="15"/>
      <c r="EZ219" s="15"/>
      <c r="FC219" s="15"/>
      <c r="FF219" s="15"/>
      <c r="FI219" s="15"/>
      <c r="FL219" s="15"/>
      <c r="FO219" s="15"/>
      <c r="FR219" s="15"/>
      <c r="FW219" s="235" t="e">
        <f t="shared" si="1068"/>
        <v>#DIV/0!</v>
      </c>
      <c r="FZ219" s="15"/>
      <c r="GB219" s="15"/>
      <c r="GC219" s="15"/>
      <c r="GE219" s="15"/>
      <c r="GF219" s="15"/>
      <c r="GH219" s="15"/>
      <c r="GI219" s="15"/>
      <c r="GK219" s="15"/>
      <c r="GL219" s="15"/>
      <c r="GN219" s="15"/>
      <c r="GO219" s="15"/>
      <c r="GQ219" s="15"/>
      <c r="GR219" s="15"/>
      <c r="GT219" s="15"/>
      <c r="GU219" s="15"/>
      <c r="GW219" s="15"/>
      <c r="GX219" s="15"/>
      <c r="GZ219" s="15"/>
      <c r="HE219" s="15">
        <v>0</v>
      </c>
      <c r="HF219" s="235" t="e">
        <f t="shared" si="1079"/>
        <v>#DIV/0!</v>
      </c>
    </row>
    <row r="220" spans="1:214" outlineLevel="1">
      <c r="A220" s="1" t="s">
        <v>201</v>
      </c>
      <c r="B220" s="1" t="s">
        <v>113</v>
      </c>
      <c r="C220" s="4" t="s">
        <v>114</v>
      </c>
      <c r="D220" s="43">
        <v>30000</v>
      </c>
      <c r="E220" s="34">
        <v>73.739999999999995</v>
      </c>
      <c r="F220" s="43">
        <v>30000</v>
      </c>
      <c r="G220" s="34">
        <v>73.739999999999995</v>
      </c>
      <c r="H220" s="46">
        <v>22122</v>
      </c>
      <c r="I220" s="36">
        <f>H220</f>
        <v>22122</v>
      </c>
      <c r="J220" s="14"/>
      <c r="L220" s="118">
        <f>'[2]2020'!$Q$61</f>
        <v>20000</v>
      </c>
      <c r="M220" s="17">
        <f>L220/F220-1</f>
        <v>-0.33333333333333337</v>
      </c>
      <c r="N220" s="17">
        <f>L220/I220-1</f>
        <v>-9.5922610975499478E-2</v>
      </c>
      <c r="Q220" s="118">
        <v>20000</v>
      </c>
      <c r="R220" s="15">
        <v>19649</v>
      </c>
      <c r="S220" s="158">
        <f>19700+12000</f>
        <v>31700</v>
      </c>
      <c r="T220" s="15">
        <f t="shared" si="1080"/>
        <v>11700</v>
      </c>
      <c r="U220" s="16">
        <f t="shared" si="1003"/>
        <v>0.58499999999999996</v>
      </c>
      <c r="Y220" s="118">
        <f>19700+12000</f>
        <v>31700</v>
      </c>
      <c r="AA220" s="118">
        <v>31700</v>
      </c>
      <c r="AB220" s="185">
        <f t="shared" si="1081"/>
        <v>0</v>
      </c>
      <c r="AC220" s="187">
        <f t="shared" si="1082"/>
        <v>0</v>
      </c>
      <c r="AD220" s="187"/>
      <c r="AE220" s="118">
        <v>31700</v>
      </c>
      <c r="AF220" s="182"/>
      <c r="AH220" s="15">
        <v>31507</v>
      </c>
      <c r="AI220" s="17">
        <f t="shared" si="1004"/>
        <v>0.9939116719242902</v>
      </c>
      <c r="AK220" s="118">
        <v>0</v>
      </c>
      <c r="AS220" s="15">
        <f t="shared" si="1083"/>
        <v>0</v>
      </c>
      <c r="AV220" s="15">
        <f t="shared" si="1040"/>
        <v>0</v>
      </c>
      <c r="AX220" s="15"/>
      <c r="AY220" s="15">
        <f t="shared" si="1084"/>
        <v>0</v>
      </c>
      <c r="BB220" s="15">
        <f t="shared" si="1085"/>
        <v>0</v>
      </c>
      <c r="BD220" s="15"/>
      <c r="BE220" s="15">
        <f t="shared" si="1086"/>
        <v>0</v>
      </c>
      <c r="BG220" s="15"/>
      <c r="BH220" s="15">
        <f t="shared" si="1087"/>
        <v>0</v>
      </c>
      <c r="BJ220" s="15">
        <v>0</v>
      </c>
      <c r="BK220" s="235" t="e">
        <f t="shared" si="1088"/>
        <v>#DIV/0!</v>
      </c>
      <c r="BM220" s="15">
        <f>29000+3500</f>
        <v>32500</v>
      </c>
      <c r="BN220" s="235" t="e">
        <f t="shared" si="1046"/>
        <v>#DIV/0!</v>
      </c>
      <c r="BO220" s="235" t="e">
        <f t="shared" si="1047"/>
        <v>#DIV/0!</v>
      </c>
      <c r="BQ220" s="227">
        <v>-1000</v>
      </c>
      <c r="BR220" s="15">
        <f t="shared" si="1089"/>
        <v>31500</v>
      </c>
      <c r="BT220" s="15"/>
      <c r="BU220" s="15">
        <f t="shared" si="1090"/>
        <v>31500</v>
      </c>
      <c r="BW220" s="15"/>
      <c r="BX220" s="15">
        <f t="shared" si="1091"/>
        <v>31500</v>
      </c>
      <c r="BZ220" s="15"/>
      <c r="CA220" s="15">
        <f t="shared" si="1092"/>
        <v>31500</v>
      </c>
      <c r="CC220" s="15"/>
      <c r="CD220" s="15">
        <f t="shared" si="1093"/>
        <v>31500</v>
      </c>
      <c r="CF220" s="15"/>
      <c r="CG220" s="15">
        <f t="shared" si="1094"/>
        <v>31500</v>
      </c>
      <c r="CI220" s="15"/>
      <c r="CJ220" s="15">
        <f t="shared" si="1095"/>
        <v>31500</v>
      </c>
      <c r="CM220" s="15">
        <f t="shared" si="1096"/>
        <v>31500</v>
      </c>
      <c r="CP220" s="15">
        <f t="shared" si="1097"/>
        <v>31500</v>
      </c>
      <c r="CS220" s="15">
        <f t="shared" si="1098"/>
        <v>31500</v>
      </c>
      <c r="CU220" s="227">
        <v>-4000</v>
      </c>
      <c r="CV220" s="15">
        <f t="shared" si="1099"/>
        <v>27500</v>
      </c>
      <c r="CX220" s="227"/>
      <c r="CY220" s="15">
        <f t="shared" si="1100"/>
        <v>27500</v>
      </c>
      <c r="DA220" s="15">
        <v>27490</v>
      </c>
      <c r="DC220" s="15">
        <v>30000</v>
      </c>
      <c r="DE220" s="15"/>
      <c r="DF220" s="15">
        <f t="shared" ref="DF220:DF230" si="1121">DC220+DE220</f>
        <v>30000</v>
      </c>
      <c r="DH220" s="15"/>
      <c r="DI220" s="15">
        <f t="shared" ref="DI220:DI230" si="1122">DF220+DH220</f>
        <v>30000</v>
      </c>
      <c r="DK220" s="15"/>
      <c r="DL220" s="15">
        <f t="shared" ref="DL220:DL230" si="1123">DI220+DK220</f>
        <v>30000</v>
      </c>
      <c r="DN220" s="15"/>
      <c r="DO220" s="15">
        <f t="shared" ref="DO220:DO230" si="1124">DL220+DN220</f>
        <v>30000</v>
      </c>
      <c r="DQ220" s="15"/>
      <c r="DR220" s="15">
        <f t="shared" ref="DR220:DR230" si="1125">DO220+DQ220</f>
        <v>30000</v>
      </c>
      <c r="DT220" s="227">
        <v>5000</v>
      </c>
      <c r="DU220" s="15">
        <f t="shared" ref="DU220:DU230" si="1126">DR220+DT220</f>
        <v>35000</v>
      </c>
      <c r="DW220" s="15"/>
      <c r="DX220" s="15">
        <f t="shared" ref="DX220:DX230" si="1127">DU220+DW220</f>
        <v>35000</v>
      </c>
      <c r="DZ220" s="15"/>
      <c r="EA220" s="15">
        <f t="shared" ref="EA220:EA230" si="1128">DX220+DZ220</f>
        <v>35000</v>
      </c>
      <c r="EC220" s="227">
        <v>-1000</v>
      </c>
      <c r="ED220" s="15">
        <f t="shared" ref="ED220:ED230" si="1129">EA220+EC220</f>
        <v>34000</v>
      </c>
      <c r="EF220" s="15"/>
      <c r="EG220" s="15">
        <f t="shared" ref="EG220:EG230" si="1130">ED220+EF220</f>
        <v>34000</v>
      </c>
      <c r="EI220" s="15">
        <v>33224</v>
      </c>
      <c r="EK220" s="15">
        <v>25000</v>
      </c>
      <c r="EM220" s="15"/>
      <c r="EN220" s="15">
        <f t="shared" ref="EN220:EN230" si="1131">EK220+EM220</f>
        <v>25000</v>
      </c>
      <c r="EP220" s="15"/>
      <c r="EQ220" s="15">
        <f t="shared" ref="EQ220:EQ230" si="1132">EN220+EP220</f>
        <v>25000</v>
      </c>
      <c r="ES220" s="227">
        <v>-800</v>
      </c>
      <c r="ET220" s="15">
        <f t="shared" ref="ET220:ET230" si="1133">EQ220+ES220</f>
        <v>24200</v>
      </c>
      <c r="EV220" s="227">
        <v>-24200</v>
      </c>
      <c r="EW220" s="15">
        <f t="shared" ref="EW220:EW230" si="1134">ET220+EV220</f>
        <v>0</v>
      </c>
      <c r="EZ220" s="15">
        <f t="shared" ref="EZ220:EZ230" si="1135">EW220+EY220</f>
        <v>0</v>
      </c>
      <c r="FC220" s="15">
        <f t="shared" ref="FC220:FC230" si="1136">EZ220+FB220</f>
        <v>0</v>
      </c>
      <c r="FF220" s="15">
        <f t="shared" ref="FF220:FF226" si="1137">FC220+FE220</f>
        <v>0</v>
      </c>
      <c r="FI220" s="15">
        <f t="shared" ref="FI220:FI226" si="1138">FF220+FH220</f>
        <v>0</v>
      </c>
      <c r="FL220" s="15">
        <f>FI220+FK220</f>
        <v>0</v>
      </c>
      <c r="FO220" s="15">
        <f>FL220+FN220</f>
        <v>0</v>
      </c>
      <c r="FR220" s="15">
        <v>0</v>
      </c>
      <c r="FT220" s="15">
        <v>0</v>
      </c>
      <c r="FV220" s="227">
        <v>30000</v>
      </c>
      <c r="FW220" s="235" t="e">
        <f t="shared" si="1068"/>
        <v>#DIV/0!</v>
      </c>
      <c r="FZ220" s="15">
        <f t="shared" ref="FZ220:FZ230" si="1139">FV220+FY220</f>
        <v>30000</v>
      </c>
      <c r="GB220" s="15"/>
      <c r="GC220" s="15">
        <f t="shared" ref="GC220:GC230" si="1140">FZ220+GB220</f>
        <v>30000</v>
      </c>
      <c r="GE220" s="15"/>
      <c r="GF220" s="15">
        <f t="shared" ref="GF220:GF230" si="1141">GC220+GE220</f>
        <v>30000</v>
      </c>
      <c r="GH220" s="15"/>
      <c r="GI220" s="15">
        <f t="shared" ref="GI220:GI230" si="1142">GF220+GH220</f>
        <v>30000</v>
      </c>
      <c r="GK220" s="227">
        <v>-10000</v>
      </c>
      <c r="GL220" s="15">
        <f t="shared" ref="GL220:GL230" si="1143">GI220+GK220</f>
        <v>20000</v>
      </c>
      <c r="GN220" s="15"/>
      <c r="GO220" s="15">
        <f t="shared" ref="GO220:GO230" si="1144">GL220+GN220</f>
        <v>20000</v>
      </c>
      <c r="GQ220" s="227">
        <v>10000</v>
      </c>
      <c r="GR220" s="15">
        <f t="shared" ref="GR220:GR230" si="1145">GO220+GQ220</f>
        <v>30000</v>
      </c>
      <c r="GT220" s="15"/>
      <c r="GU220" s="15">
        <f t="shared" ref="GU220:GU230" si="1146">GR220+GT220</f>
        <v>30000</v>
      </c>
      <c r="GW220" s="15"/>
      <c r="GX220" s="15">
        <f t="shared" ref="GX220:GX230" si="1147">GU220+GW220</f>
        <v>30000</v>
      </c>
      <c r="GZ220" s="15"/>
      <c r="HA220" s="189">
        <f t="shared" ref="HA220:HA230" si="1148">GX220+GZ220</f>
        <v>30000</v>
      </c>
      <c r="HC220" s="189">
        <v>23365.11</v>
      </c>
      <c r="HE220" s="15">
        <v>22000</v>
      </c>
      <c r="HF220" s="235">
        <f t="shared" si="1079"/>
        <v>0.94157485241884153</v>
      </c>
    </row>
    <row r="221" spans="1:214" outlineLevel="1">
      <c r="A221" s="1" t="s">
        <v>201</v>
      </c>
      <c r="B221" s="1" t="s">
        <v>146</v>
      </c>
      <c r="C221" s="4" t="s">
        <v>147</v>
      </c>
      <c r="D221" s="43">
        <v>20000</v>
      </c>
      <c r="E221" s="34">
        <v>105.09</v>
      </c>
      <c r="F221" s="43">
        <v>34600</v>
      </c>
      <c r="G221" s="34">
        <v>60.75</v>
      </c>
      <c r="H221" s="46">
        <v>21018.5</v>
      </c>
      <c r="I221" s="36">
        <f>H221</f>
        <v>21018.5</v>
      </c>
      <c r="J221" s="14"/>
      <c r="L221" s="118">
        <f>'[2]2020'!$Q$61</f>
        <v>20000</v>
      </c>
      <c r="M221" s="17">
        <f>L221/F221-1</f>
        <v>-0.4219653179190751</v>
      </c>
      <c r="N221" s="17">
        <f>L221/I221-1</f>
        <v>-4.8457311416133408E-2</v>
      </c>
      <c r="Q221" s="118">
        <v>30500</v>
      </c>
      <c r="R221" s="15">
        <v>758</v>
      </c>
      <c r="S221" s="158">
        <v>15500</v>
      </c>
      <c r="T221" s="15">
        <f t="shared" si="1080"/>
        <v>-15000</v>
      </c>
      <c r="U221" s="16">
        <f t="shared" si="1003"/>
        <v>-0.49180327868852458</v>
      </c>
      <c r="Y221" s="118">
        <v>13000</v>
      </c>
      <c r="AA221" s="118">
        <v>1000</v>
      </c>
      <c r="AB221" s="185">
        <f t="shared" si="1081"/>
        <v>-12000</v>
      </c>
      <c r="AC221" s="187">
        <f t="shared" si="1082"/>
        <v>-12000</v>
      </c>
      <c r="AD221" s="187"/>
      <c r="AE221" s="118">
        <v>1000</v>
      </c>
      <c r="AF221" s="182"/>
      <c r="AH221" s="15">
        <v>758</v>
      </c>
      <c r="AI221" s="17">
        <f t="shared" si="1004"/>
        <v>0.75800000000000001</v>
      </c>
      <c r="AK221" s="118">
        <v>14000</v>
      </c>
      <c r="AS221" s="15">
        <f t="shared" si="1083"/>
        <v>14000</v>
      </c>
      <c r="AV221" s="15">
        <f t="shared" si="1040"/>
        <v>14000</v>
      </c>
      <c r="AX221" s="15"/>
      <c r="AY221" s="15">
        <f t="shared" si="1084"/>
        <v>14000</v>
      </c>
      <c r="BB221" s="15">
        <f t="shared" si="1085"/>
        <v>14000</v>
      </c>
      <c r="BD221" s="15">
        <v>3000</v>
      </c>
      <c r="BE221" s="15">
        <f t="shared" si="1086"/>
        <v>17000</v>
      </c>
      <c r="BG221" s="15"/>
      <c r="BH221" s="15">
        <f t="shared" si="1087"/>
        <v>17000</v>
      </c>
      <c r="BJ221" s="15">
        <v>15001</v>
      </c>
      <c r="BK221" s="235">
        <f t="shared" si="1088"/>
        <v>0.88241176470588234</v>
      </c>
      <c r="BM221" s="15">
        <f>6000+1500+500</f>
        <v>8000</v>
      </c>
      <c r="BN221" s="235">
        <f t="shared" si="1046"/>
        <v>0.53329778014799012</v>
      </c>
      <c r="BO221" s="235">
        <f t="shared" si="1047"/>
        <v>0.47058823529411764</v>
      </c>
      <c r="BQ221" s="15"/>
      <c r="BR221" s="15">
        <f t="shared" si="1089"/>
        <v>8000</v>
      </c>
      <c r="BT221" s="15"/>
      <c r="BU221" s="15">
        <f t="shared" si="1090"/>
        <v>8000</v>
      </c>
      <c r="BW221" s="15"/>
      <c r="BX221" s="15">
        <f t="shared" si="1091"/>
        <v>8000</v>
      </c>
      <c r="BZ221" s="15"/>
      <c r="CA221" s="15">
        <f t="shared" si="1092"/>
        <v>8000</v>
      </c>
      <c r="CC221" s="15"/>
      <c r="CD221" s="15">
        <f t="shared" si="1093"/>
        <v>8000</v>
      </c>
      <c r="CF221" s="15"/>
      <c r="CG221" s="15">
        <f t="shared" si="1094"/>
        <v>8000</v>
      </c>
      <c r="CI221" s="15"/>
      <c r="CJ221" s="15">
        <f t="shared" si="1095"/>
        <v>8000</v>
      </c>
      <c r="CM221" s="15">
        <f t="shared" si="1096"/>
        <v>8000</v>
      </c>
      <c r="CP221" s="15">
        <f t="shared" si="1097"/>
        <v>8000</v>
      </c>
      <c r="CS221" s="15">
        <f t="shared" si="1098"/>
        <v>8000</v>
      </c>
      <c r="CU221" s="227">
        <v>-5500</v>
      </c>
      <c r="CV221" s="15">
        <f t="shared" si="1099"/>
        <v>2500</v>
      </c>
      <c r="CX221" s="227"/>
      <c r="CY221" s="15">
        <f t="shared" si="1100"/>
        <v>2500</v>
      </c>
      <c r="DA221" s="15">
        <v>2081</v>
      </c>
      <c r="DC221" s="15">
        <v>20000</v>
      </c>
      <c r="DE221" s="15"/>
      <c r="DF221" s="15">
        <f t="shared" si="1121"/>
        <v>20000</v>
      </c>
      <c r="DH221" s="15"/>
      <c r="DI221" s="15">
        <f t="shared" si="1122"/>
        <v>20000</v>
      </c>
      <c r="DK221" s="15"/>
      <c r="DL221" s="15">
        <f t="shared" si="1123"/>
        <v>20000</v>
      </c>
      <c r="DN221" s="15"/>
      <c r="DO221" s="15">
        <f t="shared" si="1124"/>
        <v>20000</v>
      </c>
      <c r="DQ221" s="15"/>
      <c r="DR221" s="15">
        <f t="shared" si="1125"/>
        <v>20000</v>
      </c>
      <c r="DT221" s="15"/>
      <c r="DU221" s="15">
        <f t="shared" si="1126"/>
        <v>20000</v>
      </c>
      <c r="DW221" s="15"/>
      <c r="DX221" s="15">
        <f t="shared" si="1127"/>
        <v>20000</v>
      </c>
      <c r="DZ221" s="15"/>
      <c r="EA221" s="15">
        <f t="shared" si="1128"/>
        <v>20000</v>
      </c>
      <c r="EC221" s="15"/>
      <c r="ED221" s="15">
        <f t="shared" si="1129"/>
        <v>20000</v>
      </c>
      <c r="EF221" s="227">
        <v>-12650</v>
      </c>
      <c r="EG221" s="15">
        <f t="shared" si="1130"/>
        <v>7350</v>
      </c>
      <c r="EI221" s="15">
        <v>7331.32</v>
      </c>
      <c r="EK221" s="15">
        <v>5000</v>
      </c>
      <c r="EM221" s="15"/>
      <c r="EN221" s="15">
        <f t="shared" si="1131"/>
        <v>5000</v>
      </c>
      <c r="EP221" s="15"/>
      <c r="EQ221" s="15">
        <f t="shared" si="1132"/>
        <v>5000</v>
      </c>
      <c r="ES221" s="15"/>
      <c r="ET221" s="15">
        <f t="shared" si="1133"/>
        <v>5000</v>
      </c>
      <c r="EW221" s="15">
        <f t="shared" si="1134"/>
        <v>5000</v>
      </c>
      <c r="EZ221" s="15">
        <f t="shared" si="1135"/>
        <v>5000</v>
      </c>
      <c r="FC221" s="15">
        <f t="shared" si="1136"/>
        <v>5000</v>
      </c>
      <c r="FF221" s="15">
        <f t="shared" si="1137"/>
        <v>5000</v>
      </c>
      <c r="FI221" s="15">
        <f t="shared" si="1138"/>
        <v>5000</v>
      </c>
      <c r="FL221" s="15">
        <f>FI221+FK221</f>
        <v>5000</v>
      </c>
      <c r="FO221" s="15">
        <f>FL221+FN221</f>
        <v>5000</v>
      </c>
      <c r="FR221" s="15">
        <v>5000</v>
      </c>
      <c r="FT221" s="15">
        <v>757</v>
      </c>
      <c r="FV221" s="15">
        <v>2000</v>
      </c>
      <c r="FW221" s="235">
        <f t="shared" si="1068"/>
        <v>2.6420079260237781</v>
      </c>
      <c r="FZ221" s="15">
        <f t="shared" si="1139"/>
        <v>2000</v>
      </c>
      <c r="GB221" s="15"/>
      <c r="GC221" s="15">
        <f t="shared" si="1140"/>
        <v>2000</v>
      </c>
      <c r="GE221" s="15"/>
      <c r="GF221" s="15">
        <f t="shared" si="1141"/>
        <v>2000</v>
      </c>
      <c r="GH221" s="15"/>
      <c r="GI221" s="15">
        <f t="shared" si="1142"/>
        <v>2000</v>
      </c>
      <c r="GK221" s="227">
        <v>10000</v>
      </c>
      <c r="GL221" s="15">
        <f t="shared" si="1143"/>
        <v>12000</v>
      </c>
      <c r="GN221" s="227">
        <v>500</v>
      </c>
      <c r="GO221" s="15">
        <f t="shared" si="1144"/>
        <v>12500</v>
      </c>
      <c r="GQ221" s="15"/>
      <c r="GR221" s="15">
        <f t="shared" si="1145"/>
        <v>12500</v>
      </c>
      <c r="GT221" s="227">
        <v>5500</v>
      </c>
      <c r="GU221" s="15">
        <f t="shared" si="1146"/>
        <v>18000</v>
      </c>
      <c r="GW221" s="15"/>
      <c r="GX221" s="15">
        <f t="shared" si="1147"/>
        <v>18000</v>
      </c>
      <c r="GZ221" s="15"/>
      <c r="HA221" s="189">
        <f t="shared" si="1148"/>
        <v>18000</v>
      </c>
      <c r="HC221" s="189">
        <v>17548.59</v>
      </c>
      <c r="HE221" s="15">
        <v>10000</v>
      </c>
      <c r="HF221" s="235">
        <f t="shared" si="1079"/>
        <v>0.56984635232802183</v>
      </c>
    </row>
    <row r="222" spans="1:214" outlineLevel="1">
      <c r="A222" s="1" t="s">
        <v>201</v>
      </c>
      <c r="B222" s="1" t="s">
        <v>157</v>
      </c>
      <c r="C222" s="4" t="s">
        <v>158</v>
      </c>
      <c r="D222" s="43">
        <v>20000</v>
      </c>
      <c r="E222" s="34">
        <v>5</v>
      </c>
      <c r="F222" s="43">
        <v>20000</v>
      </c>
      <c r="G222" s="34">
        <v>5</v>
      </c>
      <c r="H222" s="46">
        <v>999</v>
      </c>
      <c r="I222" s="36">
        <v>1200</v>
      </c>
      <c r="J222" s="14"/>
      <c r="K222" t="s">
        <v>332</v>
      </c>
      <c r="L222" s="118">
        <v>1500</v>
      </c>
      <c r="M222" s="17">
        <f>L222/F222-1</f>
        <v>-0.92500000000000004</v>
      </c>
      <c r="N222" s="17">
        <f>L222/I222-1</f>
        <v>0.25</v>
      </c>
      <c r="Q222" s="118">
        <v>1500</v>
      </c>
      <c r="R222" s="15">
        <v>776</v>
      </c>
      <c r="S222" s="118">
        <v>1500</v>
      </c>
      <c r="T222" s="15">
        <f t="shared" si="1080"/>
        <v>0</v>
      </c>
      <c r="U222" s="16">
        <f t="shared" si="1003"/>
        <v>0</v>
      </c>
      <c r="Y222" s="118">
        <v>1500</v>
      </c>
      <c r="AA222" s="118">
        <v>1500</v>
      </c>
      <c r="AB222" s="185">
        <f t="shared" si="1081"/>
        <v>0</v>
      </c>
      <c r="AC222" s="187">
        <f t="shared" si="1082"/>
        <v>0</v>
      </c>
      <c r="AD222" s="187"/>
      <c r="AE222" s="118">
        <v>1600</v>
      </c>
      <c r="AF222" s="182">
        <f>AE222-AA222</f>
        <v>100</v>
      </c>
      <c r="AH222" s="15">
        <v>1530</v>
      </c>
      <c r="AI222" s="17">
        <f t="shared" si="1004"/>
        <v>0.95625000000000004</v>
      </c>
      <c r="AK222" s="118">
        <v>1700</v>
      </c>
      <c r="AS222" s="15">
        <f t="shared" si="1083"/>
        <v>1700</v>
      </c>
      <c r="AV222" s="15">
        <f t="shared" si="1040"/>
        <v>1700</v>
      </c>
      <c r="AX222" s="15"/>
      <c r="AY222" s="15">
        <f t="shared" si="1084"/>
        <v>1700</v>
      </c>
      <c r="BB222" s="15">
        <f t="shared" si="1085"/>
        <v>1700</v>
      </c>
      <c r="BD222" s="15"/>
      <c r="BE222" s="15">
        <f t="shared" si="1086"/>
        <v>1700</v>
      </c>
      <c r="BG222" s="15"/>
      <c r="BH222" s="15">
        <f t="shared" si="1087"/>
        <v>1700</v>
      </c>
      <c r="BJ222" s="15">
        <v>305</v>
      </c>
      <c r="BK222" s="235">
        <f t="shared" si="1088"/>
        <v>0.17941176470588235</v>
      </c>
      <c r="BM222" s="15">
        <v>400</v>
      </c>
      <c r="BN222" s="235">
        <f t="shared" si="1046"/>
        <v>1.3114754098360655</v>
      </c>
      <c r="BO222" s="235">
        <f t="shared" si="1047"/>
        <v>0.23529411764705882</v>
      </c>
      <c r="BQ222" s="15"/>
      <c r="BR222" s="15">
        <f t="shared" si="1089"/>
        <v>400</v>
      </c>
      <c r="BT222" s="15"/>
      <c r="BU222" s="15">
        <f t="shared" si="1090"/>
        <v>400</v>
      </c>
      <c r="BW222" s="15"/>
      <c r="BX222" s="15">
        <f t="shared" si="1091"/>
        <v>400</v>
      </c>
      <c r="BZ222" s="15"/>
      <c r="CA222" s="15">
        <f t="shared" si="1092"/>
        <v>400</v>
      </c>
      <c r="CC222" s="15"/>
      <c r="CD222" s="15">
        <f t="shared" si="1093"/>
        <v>400</v>
      </c>
      <c r="CF222" s="15"/>
      <c r="CG222" s="15">
        <f t="shared" si="1094"/>
        <v>400</v>
      </c>
      <c r="CI222" s="15"/>
      <c r="CJ222" s="15">
        <f t="shared" si="1095"/>
        <v>400</v>
      </c>
      <c r="CM222" s="15">
        <f t="shared" si="1096"/>
        <v>400</v>
      </c>
      <c r="CP222" s="15">
        <f t="shared" si="1097"/>
        <v>400</v>
      </c>
      <c r="CS222" s="15">
        <f t="shared" si="1098"/>
        <v>400</v>
      </c>
      <c r="CV222" s="15">
        <f t="shared" si="1099"/>
        <v>400</v>
      </c>
      <c r="CY222" s="15">
        <f t="shared" si="1100"/>
        <v>400</v>
      </c>
      <c r="DA222" s="15">
        <v>196</v>
      </c>
      <c r="DC222" s="15">
        <v>500</v>
      </c>
      <c r="DE222" s="15"/>
      <c r="DF222" s="15">
        <f t="shared" si="1121"/>
        <v>500</v>
      </c>
      <c r="DH222" s="15"/>
      <c r="DI222" s="15">
        <f t="shared" si="1122"/>
        <v>500</v>
      </c>
      <c r="DK222" s="15"/>
      <c r="DL222" s="15">
        <f t="shared" si="1123"/>
        <v>500</v>
      </c>
      <c r="DN222" s="15"/>
      <c r="DO222" s="15">
        <f t="shared" si="1124"/>
        <v>500</v>
      </c>
      <c r="DQ222" s="15"/>
      <c r="DR222" s="15">
        <f t="shared" si="1125"/>
        <v>500</v>
      </c>
      <c r="DT222" s="15"/>
      <c r="DU222" s="15">
        <f t="shared" si="1126"/>
        <v>500</v>
      </c>
      <c r="DW222" s="15"/>
      <c r="DX222" s="15">
        <f t="shared" si="1127"/>
        <v>500</v>
      </c>
      <c r="DZ222" s="15"/>
      <c r="EA222" s="15">
        <f t="shared" si="1128"/>
        <v>500</v>
      </c>
      <c r="EC222" s="227">
        <v>10</v>
      </c>
      <c r="ED222" s="15">
        <f t="shared" si="1129"/>
        <v>510</v>
      </c>
      <c r="EF222" s="15"/>
      <c r="EG222" s="15">
        <f t="shared" si="1130"/>
        <v>510</v>
      </c>
      <c r="EI222" s="15">
        <v>508</v>
      </c>
      <c r="EK222" s="15">
        <v>1000</v>
      </c>
      <c r="EM222" s="15"/>
      <c r="EN222" s="15">
        <f t="shared" si="1131"/>
        <v>1000</v>
      </c>
      <c r="EP222" s="15"/>
      <c r="EQ222" s="15">
        <f t="shared" si="1132"/>
        <v>1000</v>
      </c>
      <c r="ES222" s="15"/>
      <c r="ET222" s="15">
        <f t="shared" si="1133"/>
        <v>1000</v>
      </c>
      <c r="EW222" s="15">
        <f t="shared" si="1134"/>
        <v>1000</v>
      </c>
      <c r="EZ222" s="15">
        <f t="shared" si="1135"/>
        <v>1000</v>
      </c>
      <c r="FC222" s="15">
        <f t="shared" si="1136"/>
        <v>1000</v>
      </c>
      <c r="FF222" s="15">
        <f t="shared" si="1137"/>
        <v>1000</v>
      </c>
      <c r="FI222" s="15">
        <f t="shared" si="1138"/>
        <v>1000</v>
      </c>
      <c r="FL222" s="15">
        <f t="shared" ref="FL222:FL226" si="1149">FI222+FK222</f>
        <v>1000</v>
      </c>
      <c r="FO222" s="15">
        <f t="shared" ref="FO222:FO226" si="1150">FL222+FN222</f>
        <v>1000</v>
      </c>
      <c r="FQ222" s="227">
        <v>260</v>
      </c>
      <c r="FR222" s="15">
        <v>1260</v>
      </c>
      <c r="FT222" s="15">
        <v>1253</v>
      </c>
      <c r="FV222" s="15">
        <v>1500</v>
      </c>
      <c r="FW222" s="235">
        <f t="shared" si="1068"/>
        <v>1.1971268954509178</v>
      </c>
      <c r="FZ222" s="15">
        <f t="shared" si="1139"/>
        <v>1500</v>
      </c>
      <c r="GB222" s="15"/>
      <c r="GC222" s="15">
        <f t="shared" si="1140"/>
        <v>1500</v>
      </c>
      <c r="GE222" s="15"/>
      <c r="GF222" s="15">
        <f t="shared" si="1141"/>
        <v>1500</v>
      </c>
      <c r="GH222" s="15"/>
      <c r="GI222" s="15">
        <f t="shared" si="1142"/>
        <v>1500</v>
      </c>
      <c r="GK222" s="15"/>
      <c r="GL222" s="15">
        <f t="shared" si="1143"/>
        <v>1500</v>
      </c>
      <c r="GN222" s="15"/>
      <c r="GO222" s="15">
        <f t="shared" si="1144"/>
        <v>1500</v>
      </c>
      <c r="GQ222" s="15"/>
      <c r="GR222" s="15">
        <f t="shared" si="1145"/>
        <v>1500</v>
      </c>
      <c r="GT222" s="15"/>
      <c r="GU222" s="15">
        <f t="shared" si="1146"/>
        <v>1500</v>
      </c>
      <c r="GW222" s="227">
        <v>-1000</v>
      </c>
      <c r="GX222" s="15">
        <f t="shared" si="1147"/>
        <v>500</v>
      </c>
      <c r="GZ222" s="227">
        <v>400</v>
      </c>
      <c r="HA222" s="189">
        <f t="shared" si="1148"/>
        <v>900</v>
      </c>
      <c r="HC222" s="189">
        <v>872</v>
      </c>
      <c r="HE222" s="15">
        <v>1000</v>
      </c>
      <c r="HF222" s="235">
        <f t="shared" si="1079"/>
        <v>1.1467889908256881</v>
      </c>
    </row>
    <row r="223" spans="1:214" outlineLevel="1">
      <c r="A223" s="1" t="s">
        <v>201</v>
      </c>
      <c r="B223" s="1" t="s">
        <v>159</v>
      </c>
      <c r="C223" s="4" t="s">
        <v>160</v>
      </c>
      <c r="D223" s="43">
        <v>3000</v>
      </c>
      <c r="E223" s="34">
        <v>51.1</v>
      </c>
      <c r="F223" s="43">
        <v>3000</v>
      </c>
      <c r="G223" s="34">
        <v>51.1</v>
      </c>
      <c r="H223" s="46">
        <v>1533</v>
      </c>
      <c r="I223" s="36">
        <v>5000</v>
      </c>
      <c r="J223" s="14"/>
      <c r="K223" t="s">
        <v>332</v>
      </c>
      <c r="L223" s="118">
        <v>5000</v>
      </c>
      <c r="M223" s="17">
        <f>L223/F223-1</f>
        <v>0.66666666666666674</v>
      </c>
      <c r="N223" s="17">
        <f>L223/I223-1</f>
        <v>0</v>
      </c>
      <c r="Q223" s="118">
        <v>5000</v>
      </c>
      <c r="R223" s="15">
        <v>1963</v>
      </c>
      <c r="S223" s="118">
        <v>3500</v>
      </c>
      <c r="T223" s="15">
        <f t="shared" si="1080"/>
        <v>-1500</v>
      </c>
      <c r="U223" s="16">
        <f t="shared" si="1003"/>
        <v>-0.30000000000000004</v>
      </c>
      <c r="Y223" s="118">
        <v>3500</v>
      </c>
      <c r="AA223" s="118">
        <v>5000</v>
      </c>
      <c r="AB223" s="185">
        <f t="shared" si="1081"/>
        <v>1500</v>
      </c>
      <c r="AC223" s="187">
        <f t="shared" si="1082"/>
        <v>1500</v>
      </c>
      <c r="AD223" s="187"/>
      <c r="AE223" s="118">
        <v>5000</v>
      </c>
      <c r="AF223" s="182"/>
      <c r="AH223" s="15">
        <v>4562.71</v>
      </c>
      <c r="AI223" s="17">
        <f t="shared" si="1004"/>
        <v>0.91254199999999996</v>
      </c>
      <c r="AK223" s="118">
        <v>5000</v>
      </c>
      <c r="AS223" s="15">
        <f t="shared" si="1083"/>
        <v>5000</v>
      </c>
      <c r="AV223" s="15">
        <f t="shared" si="1040"/>
        <v>5000</v>
      </c>
      <c r="AX223" s="15"/>
      <c r="AY223" s="15">
        <f t="shared" si="1084"/>
        <v>5000</v>
      </c>
      <c r="BB223" s="15">
        <f t="shared" si="1085"/>
        <v>5000</v>
      </c>
      <c r="BD223" s="15"/>
      <c r="BE223" s="15">
        <f t="shared" si="1086"/>
        <v>5000</v>
      </c>
      <c r="BG223" s="15"/>
      <c r="BH223" s="15">
        <f t="shared" si="1087"/>
        <v>5000</v>
      </c>
      <c r="BJ223" s="15">
        <v>3274.16</v>
      </c>
      <c r="BK223" s="235">
        <f t="shared" si="1088"/>
        <v>0.65483199999999997</v>
      </c>
      <c r="BM223" s="196">
        <f>12*1000</f>
        <v>12000</v>
      </c>
      <c r="BN223" s="235">
        <f t="shared" si="1046"/>
        <v>3.665062183888387</v>
      </c>
      <c r="BO223" s="235">
        <f t="shared" si="1047"/>
        <v>2.4</v>
      </c>
      <c r="BQ223" s="15"/>
      <c r="BR223" s="15">
        <f t="shared" si="1089"/>
        <v>12000</v>
      </c>
      <c r="BT223" s="15"/>
      <c r="BU223" s="15">
        <f t="shared" si="1090"/>
        <v>12000</v>
      </c>
      <c r="BW223" s="15">
        <v>12000</v>
      </c>
      <c r="BX223" s="15">
        <f t="shared" si="1091"/>
        <v>24000</v>
      </c>
      <c r="BZ223" s="15"/>
      <c r="CA223" s="15">
        <f t="shared" si="1092"/>
        <v>24000</v>
      </c>
      <c r="CC223" s="15"/>
      <c r="CD223" s="15">
        <f t="shared" si="1093"/>
        <v>24000</v>
      </c>
      <c r="CF223" s="15"/>
      <c r="CG223" s="15">
        <f t="shared" si="1094"/>
        <v>24000</v>
      </c>
      <c r="CI223" s="15"/>
      <c r="CJ223" s="15">
        <f t="shared" si="1095"/>
        <v>24000</v>
      </c>
      <c r="CM223" s="15">
        <f t="shared" si="1096"/>
        <v>24000</v>
      </c>
      <c r="CP223" s="15">
        <f t="shared" si="1097"/>
        <v>24000</v>
      </c>
      <c r="CS223" s="15">
        <f t="shared" si="1098"/>
        <v>24000</v>
      </c>
      <c r="CU223" s="227">
        <v>-4000</v>
      </c>
      <c r="CV223" s="15">
        <f t="shared" si="1099"/>
        <v>20000</v>
      </c>
      <c r="CX223" s="227"/>
      <c r="CY223" s="15">
        <f t="shared" si="1100"/>
        <v>20000</v>
      </c>
      <c r="DA223" s="15">
        <v>19752.55</v>
      </c>
      <c r="DC223" s="15">
        <v>19000</v>
      </c>
      <c r="DE223" s="15"/>
      <c r="DF223" s="15">
        <f t="shared" si="1121"/>
        <v>19000</v>
      </c>
      <c r="DH223" s="15"/>
      <c r="DI223" s="15">
        <f t="shared" si="1122"/>
        <v>19000</v>
      </c>
      <c r="DK223" s="15"/>
      <c r="DL223" s="15">
        <f t="shared" si="1123"/>
        <v>19000</v>
      </c>
      <c r="DN223" s="15"/>
      <c r="DO223" s="15">
        <f t="shared" si="1124"/>
        <v>19000</v>
      </c>
      <c r="DQ223" s="227">
        <v>5000</v>
      </c>
      <c r="DR223" s="15">
        <f t="shared" si="1125"/>
        <v>24000</v>
      </c>
      <c r="DT223" s="15"/>
      <c r="DU223" s="15">
        <f t="shared" si="1126"/>
        <v>24000</v>
      </c>
      <c r="DW223" s="15"/>
      <c r="DX223" s="15">
        <f t="shared" si="1127"/>
        <v>24000</v>
      </c>
      <c r="DZ223" s="227">
        <v>3000</v>
      </c>
      <c r="EA223" s="15">
        <f t="shared" si="1128"/>
        <v>27000</v>
      </c>
      <c r="EC223" s="227">
        <v>790</v>
      </c>
      <c r="ED223" s="15">
        <f t="shared" si="1129"/>
        <v>27790</v>
      </c>
      <c r="EF223" s="227">
        <v>1500</v>
      </c>
      <c r="EG223" s="15">
        <f t="shared" si="1130"/>
        <v>29290</v>
      </c>
      <c r="EI223" s="15">
        <v>29114</v>
      </c>
      <c r="EK223" s="15">
        <v>30000</v>
      </c>
      <c r="EM223" s="15"/>
      <c r="EN223" s="15">
        <f t="shared" si="1131"/>
        <v>30000</v>
      </c>
      <c r="EP223" s="15"/>
      <c r="EQ223" s="15">
        <f t="shared" si="1132"/>
        <v>30000</v>
      </c>
      <c r="ES223" s="15"/>
      <c r="ET223" s="15">
        <f t="shared" si="1133"/>
        <v>30000</v>
      </c>
      <c r="EW223" s="15">
        <f t="shared" si="1134"/>
        <v>30000</v>
      </c>
      <c r="EZ223" s="15">
        <f t="shared" si="1135"/>
        <v>30000</v>
      </c>
      <c r="FC223" s="15">
        <f t="shared" si="1136"/>
        <v>30000</v>
      </c>
      <c r="FF223" s="15">
        <f t="shared" si="1137"/>
        <v>30000</v>
      </c>
      <c r="FI223" s="15">
        <f t="shared" si="1138"/>
        <v>30000</v>
      </c>
      <c r="FK223" s="227">
        <v>-19000</v>
      </c>
      <c r="FL223" s="15">
        <f t="shared" si="1149"/>
        <v>11000</v>
      </c>
      <c r="FO223" s="15">
        <f t="shared" si="1150"/>
        <v>11000</v>
      </c>
      <c r="FR223" s="15">
        <v>11000</v>
      </c>
      <c r="FT223" s="15">
        <v>10640</v>
      </c>
      <c r="FV223" s="15">
        <v>12000</v>
      </c>
      <c r="FW223" s="235">
        <f t="shared" si="1068"/>
        <v>1.1278195488721805</v>
      </c>
      <c r="FZ223" s="15">
        <f t="shared" si="1139"/>
        <v>12000</v>
      </c>
      <c r="GB223" s="15"/>
      <c r="GC223" s="15">
        <f t="shared" si="1140"/>
        <v>12000</v>
      </c>
      <c r="GE223" s="15"/>
      <c r="GF223" s="15">
        <f t="shared" si="1141"/>
        <v>12000</v>
      </c>
      <c r="GH223" s="15"/>
      <c r="GI223" s="15">
        <f t="shared" si="1142"/>
        <v>12000</v>
      </c>
      <c r="GK223" s="15"/>
      <c r="GL223" s="15">
        <f t="shared" si="1143"/>
        <v>12000</v>
      </c>
      <c r="GN223" s="15"/>
      <c r="GO223" s="15">
        <f t="shared" si="1144"/>
        <v>12000</v>
      </c>
      <c r="GQ223" s="227">
        <v>-2000</v>
      </c>
      <c r="GR223" s="15">
        <f t="shared" si="1145"/>
        <v>10000</v>
      </c>
      <c r="GT223" s="15"/>
      <c r="GU223" s="15">
        <f t="shared" si="1146"/>
        <v>10000</v>
      </c>
      <c r="GW223" s="15"/>
      <c r="GX223" s="15">
        <f t="shared" si="1147"/>
        <v>10000</v>
      </c>
      <c r="GZ223" s="15"/>
      <c r="HA223" s="189">
        <f t="shared" si="1148"/>
        <v>10000</v>
      </c>
      <c r="HC223" s="189">
        <v>5700.09</v>
      </c>
      <c r="HE223" s="15">
        <v>8000</v>
      </c>
      <c r="HF223" s="235">
        <f t="shared" si="1079"/>
        <v>1.4034866116149043</v>
      </c>
    </row>
    <row r="224" spans="1:214" outlineLevel="1">
      <c r="A224" s="1" t="s">
        <v>201</v>
      </c>
      <c r="B224" s="1" t="s">
        <v>161</v>
      </c>
      <c r="C224" s="4" t="s">
        <v>162</v>
      </c>
      <c r="D224" s="43">
        <v>11000</v>
      </c>
      <c r="E224" s="34">
        <v>77.86</v>
      </c>
      <c r="F224" s="43">
        <v>11000</v>
      </c>
      <c r="G224" s="34">
        <v>77.86</v>
      </c>
      <c r="H224" s="46">
        <v>8565</v>
      </c>
      <c r="I224" s="15">
        <v>11000</v>
      </c>
      <c r="K224" t="s">
        <v>332</v>
      </c>
      <c r="L224" s="118">
        <v>14000</v>
      </c>
      <c r="M224" s="17">
        <f t="shared" si="960"/>
        <v>0.27272727272727271</v>
      </c>
      <c r="N224" s="17">
        <f t="shared" si="961"/>
        <v>0.27272727272727271</v>
      </c>
      <c r="Q224" s="118">
        <v>14000</v>
      </c>
      <c r="R224" s="15">
        <v>4202</v>
      </c>
      <c r="S224" s="118">
        <v>12000</v>
      </c>
      <c r="T224" s="15">
        <f t="shared" si="1080"/>
        <v>-2000</v>
      </c>
      <c r="U224" s="16">
        <f t="shared" si="1003"/>
        <v>-0.1428571428571429</v>
      </c>
      <c r="Y224" s="118">
        <v>8800</v>
      </c>
      <c r="Z224">
        <v>10300</v>
      </c>
      <c r="AA224" s="118">
        <v>8800</v>
      </c>
      <c r="AB224" s="185">
        <f t="shared" si="1081"/>
        <v>0</v>
      </c>
      <c r="AC224" s="187">
        <f t="shared" si="1082"/>
        <v>0</v>
      </c>
      <c r="AD224" s="187"/>
      <c r="AE224" s="118">
        <v>8800</v>
      </c>
      <c r="AF224" s="182"/>
      <c r="AH224" s="15">
        <v>6304</v>
      </c>
      <c r="AI224" s="17">
        <f t="shared" si="1004"/>
        <v>0.71636363636363631</v>
      </c>
      <c r="AK224" s="118">
        <v>8000</v>
      </c>
      <c r="AS224" s="15">
        <f t="shared" si="1083"/>
        <v>8000</v>
      </c>
      <c r="AV224" s="15">
        <f t="shared" si="1040"/>
        <v>8000</v>
      </c>
      <c r="AX224" s="15"/>
      <c r="AY224" s="15">
        <f t="shared" si="1084"/>
        <v>8000</v>
      </c>
      <c r="BB224" s="15">
        <f t="shared" si="1085"/>
        <v>8000</v>
      </c>
      <c r="BD224" s="15">
        <v>4000</v>
      </c>
      <c r="BE224" s="15">
        <f t="shared" si="1086"/>
        <v>12000</v>
      </c>
      <c r="BG224" s="15"/>
      <c r="BH224" s="15">
        <f t="shared" si="1087"/>
        <v>12000</v>
      </c>
      <c r="BJ224" s="15">
        <v>9655</v>
      </c>
      <c r="BK224" s="235">
        <f t="shared" si="1088"/>
        <v>0.80458333333333332</v>
      </c>
      <c r="BM224" s="196">
        <f>12*1350</f>
        <v>16200</v>
      </c>
      <c r="BN224" s="235">
        <f t="shared" si="1046"/>
        <v>1.6778871051268773</v>
      </c>
      <c r="BO224" s="235">
        <f t="shared" si="1047"/>
        <v>1.35</v>
      </c>
      <c r="BQ224" s="15"/>
      <c r="BR224" s="15">
        <f t="shared" si="1089"/>
        <v>16200</v>
      </c>
      <c r="BT224" s="15"/>
      <c r="BU224" s="15">
        <f t="shared" si="1090"/>
        <v>16200</v>
      </c>
      <c r="BW224" s="15"/>
      <c r="BX224" s="15">
        <f t="shared" si="1091"/>
        <v>16200</v>
      </c>
      <c r="BZ224" s="15"/>
      <c r="CA224" s="15">
        <f t="shared" si="1092"/>
        <v>16200</v>
      </c>
      <c r="CC224" s="15"/>
      <c r="CD224" s="15">
        <f t="shared" si="1093"/>
        <v>16200</v>
      </c>
      <c r="CF224" s="15"/>
      <c r="CG224" s="15">
        <f t="shared" si="1094"/>
        <v>16200</v>
      </c>
      <c r="CI224" s="15"/>
      <c r="CJ224" s="15">
        <f t="shared" si="1095"/>
        <v>16200</v>
      </c>
      <c r="CM224" s="15">
        <f t="shared" si="1096"/>
        <v>16200</v>
      </c>
      <c r="CP224" s="15">
        <f t="shared" si="1097"/>
        <v>16200</v>
      </c>
      <c r="CS224" s="15">
        <f t="shared" si="1098"/>
        <v>16200</v>
      </c>
      <c r="CU224" s="227">
        <v>-2200</v>
      </c>
      <c r="CV224" s="15">
        <f t="shared" si="1099"/>
        <v>14000</v>
      </c>
      <c r="CX224" s="227"/>
      <c r="CY224" s="15">
        <f t="shared" si="1100"/>
        <v>14000</v>
      </c>
      <c r="DA224" s="15">
        <v>13983</v>
      </c>
      <c r="DC224" s="15">
        <v>13000</v>
      </c>
      <c r="DE224" s="15"/>
      <c r="DF224" s="15">
        <f t="shared" si="1121"/>
        <v>13000</v>
      </c>
      <c r="DH224" s="15"/>
      <c r="DI224" s="15">
        <f t="shared" si="1122"/>
        <v>13000</v>
      </c>
      <c r="DK224" s="15"/>
      <c r="DL224" s="15">
        <f t="shared" si="1123"/>
        <v>13000</v>
      </c>
      <c r="DN224" s="15"/>
      <c r="DO224" s="15">
        <f t="shared" si="1124"/>
        <v>13000</v>
      </c>
      <c r="DQ224" s="15"/>
      <c r="DR224" s="15">
        <f t="shared" si="1125"/>
        <v>13000</v>
      </c>
      <c r="DT224" s="15"/>
      <c r="DU224" s="15">
        <f t="shared" si="1126"/>
        <v>13000</v>
      </c>
      <c r="DW224" s="15"/>
      <c r="DX224" s="15">
        <f t="shared" si="1127"/>
        <v>13000</v>
      </c>
      <c r="DZ224" s="15"/>
      <c r="EA224" s="15">
        <f t="shared" si="1128"/>
        <v>13000</v>
      </c>
      <c r="EC224" s="15"/>
      <c r="ED224" s="15">
        <f t="shared" si="1129"/>
        <v>13000</v>
      </c>
      <c r="EF224" s="227">
        <v>-8000</v>
      </c>
      <c r="EG224" s="15">
        <f t="shared" si="1130"/>
        <v>5000</v>
      </c>
      <c r="EI224" s="15">
        <v>4774</v>
      </c>
      <c r="EK224" s="15">
        <v>5000</v>
      </c>
      <c r="EM224" s="15"/>
      <c r="EN224" s="15">
        <f t="shared" si="1131"/>
        <v>5000</v>
      </c>
      <c r="EP224" s="15"/>
      <c r="EQ224" s="15">
        <f t="shared" si="1132"/>
        <v>5000</v>
      </c>
      <c r="ES224" s="15"/>
      <c r="ET224" s="15">
        <f t="shared" si="1133"/>
        <v>5000</v>
      </c>
      <c r="EV224" s="227">
        <v>1000</v>
      </c>
      <c r="EW224" s="15">
        <f t="shared" si="1134"/>
        <v>6000</v>
      </c>
      <c r="EY224" s="227">
        <v>1000</v>
      </c>
      <c r="EZ224" s="15">
        <f t="shared" si="1135"/>
        <v>7000</v>
      </c>
      <c r="FC224" s="15">
        <f t="shared" si="1136"/>
        <v>7000</v>
      </c>
      <c r="FF224" s="15">
        <f t="shared" si="1137"/>
        <v>7000</v>
      </c>
      <c r="FI224" s="15">
        <f t="shared" si="1138"/>
        <v>7000</v>
      </c>
      <c r="FK224" s="227">
        <v>1000</v>
      </c>
      <c r="FL224" s="15">
        <f t="shared" si="1149"/>
        <v>8000</v>
      </c>
      <c r="FO224" s="15">
        <f t="shared" si="1150"/>
        <v>8000</v>
      </c>
      <c r="FR224" s="15">
        <v>8000</v>
      </c>
      <c r="FT224" s="15">
        <v>7834</v>
      </c>
      <c r="FV224" s="15">
        <v>8000</v>
      </c>
      <c r="FW224" s="235">
        <f t="shared" si="1068"/>
        <v>1.0211896859841716</v>
      </c>
      <c r="FZ224" s="15">
        <f t="shared" si="1139"/>
        <v>8000</v>
      </c>
      <c r="GB224" s="15"/>
      <c r="GC224" s="15">
        <f t="shared" si="1140"/>
        <v>8000</v>
      </c>
      <c r="GE224" s="15"/>
      <c r="GF224" s="15">
        <f t="shared" si="1141"/>
        <v>8000</v>
      </c>
      <c r="GH224" s="15"/>
      <c r="GI224" s="15">
        <f t="shared" si="1142"/>
        <v>8000</v>
      </c>
      <c r="GK224" s="15"/>
      <c r="GL224" s="15">
        <f t="shared" si="1143"/>
        <v>8000</v>
      </c>
      <c r="GN224" s="15"/>
      <c r="GO224" s="15">
        <f t="shared" si="1144"/>
        <v>8000</v>
      </c>
      <c r="GQ224" s="227">
        <v>5000</v>
      </c>
      <c r="GR224" s="15">
        <f t="shared" si="1145"/>
        <v>13000</v>
      </c>
      <c r="GT224" s="15"/>
      <c r="GU224" s="15">
        <f t="shared" si="1146"/>
        <v>13000</v>
      </c>
      <c r="GW224" s="15"/>
      <c r="GX224" s="15">
        <f t="shared" si="1147"/>
        <v>13000</v>
      </c>
      <c r="GZ224" s="15"/>
      <c r="HA224" s="189">
        <f t="shared" si="1148"/>
        <v>13000</v>
      </c>
      <c r="HC224" s="189">
        <v>9291.0499999999993</v>
      </c>
      <c r="HE224" s="15">
        <v>10000</v>
      </c>
      <c r="HF224" s="235">
        <f t="shared" si="1079"/>
        <v>1.0763046157323446</v>
      </c>
    </row>
    <row r="225" spans="1:214" outlineLevel="1">
      <c r="A225" s="1" t="s">
        <v>201</v>
      </c>
      <c r="B225" s="1" t="s">
        <v>193</v>
      </c>
      <c r="C225" s="4" t="s">
        <v>194</v>
      </c>
      <c r="D225" s="43">
        <v>2000</v>
      </c>
      <c r="E225" s="34">
        <v>35.9</v>
      </c>
      <c r="F225" s="43">
        <v>2000</v>
      </c>
      <c r="G225" s="34">
        <v>35.9</v>
      </c>
      <c r="H225" s="46">
        <v>718</v>
      </c>
      <c r="I225" s="36">
        <v>1200</v>
      </c>
      <c r="J225" s="14"/>
      <c r="K225" t="s">
        <v>332</v>
      </c>
      <c r="L225" s="118">
        <v>2000</v>
      </c>
      <c r="M225" s="17">
        <f t="shared" si="960"/>
        <v>0</v>
      </c>
      <c r="N225" s="17">
        <f t="shared" si="961"/>
        <v>0.66666666666666674</v>
      </c>
      <c r="Q225" s="118">
        <v>2000</v>
      </c>
      <c r="R225" s="15">
        <v>0</v>
      </c>
      <c r="S225" s="118">
        <v>1000</v>
      </c>
      <c r="T225" s="15">
        <f t="shared" si="1080"/>
        <v>-1000</v>
      </c>
      <c r="U225" s="16">
        <f t="shared" si="1003"/>
        <v>-0.5</v>
      </c>
      <c r="Y225" s="118">
        <v>1000</v>
      </c>
      <c r="AA225" s="118">
        <v>1000</v>
      </c>
      <c r="AB225" s="185">
        <f t="shared" si="1081"/>
        <v>0</v>
      </c>
      <c r="AC225" s="187">
        <f t="shared" si="1082"/>
        <v>0</v>
      </c>
      <c r="AD225" s="187"/>
      <c r="AE225" s="118">
        <v>1000</v>
      </c>
      <c r="AF225" s="182"/>
      <c r="AH225" s="15">
        <v>0</v>
      </c>
      <c r="AI225" s="17">
        <f t="shared" si="1004"/>
        <v>0</v>
      </c>
      <c r="AK225" s="118">
        <v>2000</v>
      </c>
      <c r="AS225" s="15">
        <f t="shared" si="1083"/>
        <v>2000</v>
      </c>
      <c r="AV225" s="15">
        <f t="shared" si="1040"/>
        <v>2000</v>
      </c>
      <c r="AX225" s="15"/>
      <c r="AY225" s="15">
        <f t="shared" si="1084"/>
        <v>2000</v>
      </c>
      <c r="BB225" s="15">
        <f t="shared" si="1085"/>
        <v>2000</v>
      </c>
      <c r="BD225" s="15">
        <v>8000</v>
      </c>
      <c r="BE225" s="15">
        <f t="shared" si="1086"/>
        <v>10000</v>
      </c>
      <c r="BG225" s="15"/>
      <c r="BH225" s="15">
        <f t="shared" si="1087"/>
        <v>10000</v>
      </c>
      <c r="BJ225" s="15">
        <v>5878.5</v>
      </c>
      <c r="BK225" s="235">
        <f t="shared" si="1088"/>
        <v>0.58784999999999998</v>
      </c>
      <c r="BM225" s="15">
        <v>6000</v>
      </c>
      <c r="BN225" s="235">
        <f t="shared" si="1046"/>
        <v>1.0206685378923195</v>
      </c>
      <c r="BO225" s="235">
        <f t="shared" si="1047"/>
        <v>0.6</v>
      </c>
      <c r="BQ225" s="15"/>
      <c r="BR225" s="15">
        <f t="shared" si="1089"/>
        <v>6000</v>
      </c>
      <c r="BT225" s="15"/>
      <c r="BU225" s="15">
        <f t="shared" si="1090"/>
        <v>6000</v>
      </c>
      <c r="BW225" s="15"/>
      <c r="BX225" s="15">
        <f t="shared" si="1091"/>
        <v>6000</v>
      </c>
      <c r="BZ225" s="15"/>
      <c r="CA225" s="15">
        <f t="shared" si="1092"/>
        <v>6000</v>
      </c>
      <c r="CC225" s="15"/>
      <c r="CD225" s="15">
        <f t="shared" si="1093"/>
        <v>6000</v>
      </c>
      <c r="CF225" s="15"/>
      <c r="CG225" s="15">
        <f t="shared" si="1094"/>
        <v>6000</v>
      </c>
      <c r="CI225" s="15"/>
      <c r="CJ225" s="15">
        <f t="shared" si="1095"/>
        <v>6000</v>
      </c>
      <c r="CM225" s="15">
        <f t="shared" si="1096"/>
        <v>6000</v>
      </c>
      <c r="CP225" s="15">
        <f t="shared" si="1097"/>
        <v>6000</v>
      </c>
      <c r="CS225" s="15">
        <f t="shared" si="1098"/>
        <v>6000</v>
      </c>
      <c r="CV225" s="15">
        <f t="shared" si="1099"/>
        <v>6000</v>
      </c>
      <c r="CY225" s="15">
        <f t="shared" si="1100"/>
        <v>6000</v>
      </c>
      <c r="DA225" s="15">
        <v>5262</v>
      </c>
      <c r="DC225" s="15">
        <v>8000</v>
      </c>
      <c r="DE225" s="15"/>
      <c r="DF225" s="15">
        <f t="shared" si="1121"/>
        <v>8000</v>
      </c>
      <c r="DH225" s="15"/>
      <c r="DI225" s="15">
        <f t="shared" si="1122"/>
        <v>8000</v>
      </c>
      <c r="DK225" s="15"/>
      <c r="DL225" s="15">
        <f t="shared" si="1123"/>
        <v>8000</v>
      </c>
      <c r="DN225" s="15"/>
      <c r="DO225" s="15">
        <f t="shared" si="1124"/>
        <v>8000</v>
      </c>
      <c r="DQ225" s="15"/>
      <c r="DR225" s="15">
        <f t="shared" si="1125"/>
        <v>8000</v>
      </c>
      <c r="DT225" s="15"/>
      <c r="DU225" s="15">
        <f t="shared" si="1126"/>
        <v>8000</v>
      </c>
      <c r="DW225" s="227">
        <v>4000</v>
      </c>
      <c r="DX225" s="15">
        <f t="shared" si="1127"/>
        <v>12000</v>
      </c>
      <c r="DZ225" s="227">
        <v>2100</v>
      </c>
      <c r="EA225" s="15">
        <f t="shared" si="1128"/>
        <v>14100</v>
      </c>
      <c r="EC225" s="227">
        <v>2500</v>
      </c>
      <c r="ED225" s="15">
        <f t="shared" si="1129"/>
        <v>16600</v>
      </c>
      <c r="EF225" s="15"/>
      <c r="EG225" s="15">
        <f t="shared" si="1130"/>
        <v>16600</v>
      </c>
      <c r="EI225" s="15">
        <v>15988.5</v>
      </c>
      <c r="EK225" s="15">
        <v>16000</v>
      </c>
      <c r="EM225" s="15"/>
      <c r="EN225" s="15">
        <f t="shared" si="1131"/>
        <v>16000</v>
      </c>
      <c r="EP225" s="15"/>
      <c r="EQ225" s="15">
        <f t="shared" si="1132"/>
        <v>16000</v>
      </c>
      <c r="ES225" s="15"/>
      <c r="ET225" s="15">
        <f t="shared" si="1133"/>
        <v>16000</v>
      </c>
      <c r="EW225" s="15">
        <f t="shared" si="1134"/>
        <v>16000</v>
      </c>
      <c r="EZ225" s="15">
        <f t="shared" si="1135"/>
        <v>16000</v>
      </c>
      <c r="FC225" s="15">
        <f t="shared" si="1136"/>
        <v>16000</v>
      </c>
      <c r="FF225" s="15">
        <f t="shared" si="1137"/>
        <v>16000</v>
      </c>
      <c r="FI225" s="15">
        <f t="shared" si="1138"/>
        <v>16000</v>
      </c>
      <c r="FK225" s="227">
        <v>-3000</v>
      </c>
      <c r="FL225" s="15">
        <f t="shared" si="1149"/>
        <v>13000</v>
      </c>
      <c r="FO225" s="15">
        <f t="shared" si="1150"/>
        <v>13000</v>
      </c>
      <c r="FR225" s="15">
        <v>13000</v>
      </c>
      <c r="FT225" s="15">
        <v>10619</v>
      </c>
      <c r="FV225" s="15">
        <v>12000</v>
      </c>
      <c r="FW225" s="235">
        <f t="shared" si="1068"/>
        <v>1.1300499105377153</v>
      </c>
      <c r="FZ225" s="15">
        <f t="shared" si="1139"/>
        <v>12000</v>
      </c>
      <c r="GB225" s="15"/>
      <c r="GC225" s="15">
        <f t="shared" si="1140"/>
        <v>12000</v>
      </c>
      <c r="GE225" s="15"/>
      <c r="GF225" s="15">
        <f t="shared" si="1141"/>
        <v>12000</v>
      </c>
      <c r="GH225" s="15"/>
      <c r="GI225" s="15">
        <f t="shared" si="1142"/>
        <v>12000</v>
      </c>
      <c r="GK225" s="15"/>
      <c r="GL225" s="15">
        <f t="shared" si="1143"/>
        <v>12000</v>
      </c>
      <c r="GN225" s="15"/>
      <c r="GO225" s="15">
        <f t="shared" si="1144"/>
        <v>12000</v>
      </c>
      <c r="GQ225" s="227">
        <v>-6000</v>
      </c>
      <c r="GR225" s="15">
        <f t="shared" si="1145"/>
        <v>6000</v>
      </c>
      <c r="GT225" s="15"/>
      <c r="GU225" s="15">
        <f t="shared" si="1146"/>
        <v>6000</v>
      </c>
      <c r="GW225" s="15"/>
      <c r="GX225" s="15">
        <f t="shared" si="1147"/>
        <v>6000</v>
      </c>
      <c r="GZ225" s="15"/>
      <c r="HA225" s="189">
        <f t="shared" si="1148"/>
        <v>6000</v>
      </c>
      <c r="HC225" s="189">
        <v>3375</v>
      </c>
      <c r="HE225" s="15">
        <v>5000</v>
      </c>
      <c r="HF225" s="235">
        <f t="shared" si="1079"/>
        <v>1.4814814814814814</v>
      </c>
    </row>
    <row r="226" spans="1:214" outlineLevel="1">
      <c r="A226" s="1" t="s">
        <v>201</v>
      </c>
      <c r="B226" s="1" t="s">
        <v>195</v>
      </c>
      <c r="C226" s="4" t="s">
        <v>196</v>
      </c>
      <c r="D226" s="43">
        <v>2000</v>
      </c>
      <c r="E226" s="34">
        <v>0</v>
      </c>
      <c r="F226" s="43">
        <v>2000</v>
      </c>
      <c r="G226" s="34">
        <v>0</v>
      </c>
      <c r="H226" s="46">
        <v>0</v>
      </c>
      <c r="I226" s="36">
        <v>0</v>
      </c>
      <c r="J226" s="14"/>
      <c r="K226" t="s">
        <v>332</v>
      </c>
      <c r="L226" s="118">
        <v>2000</v>
      </c>
      <c r="M226" s="17">
        <f t="shared" si="960"/>
        <v>0</v>
      </c>
      <c r="N226" s="17" t="e">
        <f t="shared" si="961"/>
        <v>#DIV/0!</v>
      </c>
      <c r="Q226" s="118">
        <v>2000</v>
      </c>
      <c r="R226" s="15">
        <v>0</v>
      </c>
      <c r="S226" s="118">
        <v>500</v>
      </c>
      <c r="T226" s="15">
        <f t="shared" si="1080"/>
        <v>-1500</v>
      </c>
      <c r="U226" s="16">
        <f t="shared" si="1003"/>
        <v>-0.75</v>
      </c>
      <c r="Y226" s="118">
        <v>500</v>
      </c>
      <c r="AA226" s="118">
        <v>0</v>
      </c>
      <c r="AB226" s="185">
        <f t="shared" si="1081"/>
        <v>-500</v>
      </c>
      <c r="AC226" s="187">
        <f t="shared" si="1082"/>
        <v>-500</v>
      </c>
      <c r="AD226" s="187"/>
      <c r="AE226" s="118">
        <v>0</v>
      </c>
      <c r="AF226" s="182"/>
      <c r="AH226" s="15">
        <v>0</v>
      </c>
      <c r="AK226" s="118">
        <v>2000</v>
      </c>
      <c r="AS226" s="15">
        <f t="shared" si="1083"/>
        <v>2000</v>
      </c>
      <c r="AV226" s="15">
        <f t="shared" si="1040"/>
        <v>2000</v>
      </c>
      <c r="AX226" s="15"/>
      <c r="AY226" s="15">
        <f t="shared" si="1084"/>
        <v>2000</v>
      </c>
      <c r="BB226" s="15">
        <f t="shared" si="1085"/>
        <v>2000</v>
      </c>
      <c r="BD226" s="15"/>
      <c r="BE226" s="15">
        <f t="shared" si="1086"/>
        <v>2000</v>
      </c>
      <c r="BG226" s="15"/>
      <c r="BH226" s="15">
        <f t="shared" si="1087"/>
        <v>2000</v>
      </c>
      <c r="BJ226" s="15">
        <v>0</v>
      </c>
      <c r="BK226" s="235">
        <f t="shared" si="1088"/>
        <v>0</v>
      </c>
      <c r="BM226" s="15">
        <v>1000</v>
      </c>
      <c r="BN226" s="235" t="e">
        <f t="shared" si="1046"/>
        <v>#DIV/0!</v>
      </c>
      <c r="BO226" s="235">
        <f t="shared" si="1047"/>
        <v>0.5</v>
      </c>
      <c r="BQ226" s="15"/>
      <c r="BR226" s="15">
        <f t="shared" si="1089"/>
        <v>1000</v>
      </c>
      <c r="BT226" s="15"/>
      <c r="BU226" s="15">
        <f t="shared" si="1090"/>
        <v>1000</v>
      </c>
      <c r="BW226" s="15"/>
      <c r="BX226" s="15">
        <f t="shared" si="1091"/>
        <v>1000</v>
      </c>
      <c r="BZ226" s="15"/>
      <c r="CA226" s="15">
        <f t="shared" si="1092"/>
        <v>1000</v>
      </c>
      <c r="CC226" s="15"/>
      <c r="CD226" s="15">
        <f t="shared" si="1093"/>
        <v>1000</v>
      </c>
      <c r="CF226" s="15"/>
      <c r="CG226" s="15">
        <f t="shared" si="1094"/>
        <v>1000</v>
      </c>
      <c r="CI226" s="15"/>
      <c r="CJ226" s="15">
        <f t="shared" si="1095"/>
        <v>1000</v>
      </c>
      <c r="CM226" s="15">
        <f t="shared" si="1096"/>
        <v>1000</v>
      </c>
      <c r="CP226" s="15">
        <f t="shared" si="1097"/>
        <v>1000</v>
      </c>
      <c r="CS226" s="15">
        <f t="shared" si="1098"/>
        <v>1000</v>
      </c>
      <c r="CU226" s="227">
        <v>-1000</v>
      </c>
      <c r="CV226" s="15">
        <f t="shared" si="1099"/>
        <v>0</v>
      </c>
      <c r="CX226" s="227"/>
      <c r="CY226" s="15">
        <f t="shared" si="1100"/>
        <v>0</v>
      </c>
      <c r="DA226" s="15">
        <v>0</v>
      </c>
      <c r="DE226" s="15"/>
      <c r="DF226" s="15">
        <f t="shared" si="1121"/>
        <v>0</v>
      </c>
      <c r="DH226" s="15"/>
      <c r="DI226" s="15">
        <f t="shared" si="1122"/>
        <v>0</v>
      </c>
      <c r="DK226" s="15"/>
      <c r="DL226" s="15">
        <f t="shared" si="1123"/>
        <v>0</v>
      </c>
      <c r="DN226" s="15"/>
      <c r="DO226" s="15">
        <f t="shared" si="1124"/>
        <v>0</v>
      </c>
      <c r="DQ226" s="15"/>
      <c r="DR226" s="15">
        <f t="shared" si="1125"/>
        <v>0</v>
      </c>
      <c r="DT226" s="15"/>
      <c r="DU226" s="15">
        <f t="shared" si="1126"/>
        <v>0</v>
      </c>
      <c r="DW226" s="15"/>
      <c r="DX226" s="15">
        <f t="shared" si="1127"/>
        <v>0</v>
      </c>
      <c r="DZ226" s="15"/>
      <c r="EA226" s="15">
        <f t="shared" si="1128"/>
        <v>0</v>
      </c>
      <c r="EC226" s="15"/>
      <c r="ED226" s="15">
        <f t="shared" si="1129"/>
        <v>0</v>
      </c>
      <c r="EF226" s="15"/>
      <c r="EG226" s="15">
        <f t="shared" si="1130"/>
        <v>0</v>
      </c>
      <c r="EK226" s="15"/>
      <c r="EM226" s="15"/>
      <c r="EN226" s="15">
        <f t="shared" si="1131"/>
        <v>0</v>
      </c>
      <c r="EP226" s="15"/>
      <c r="EQ226" s="15">
        <f t="shared" si="1132"/>
        <v>0</v>
      </c>
      <c r="ES226" s="15"/>
      <c r="ET226" s="15">
        <f t="shared" si="1133"/>
        <v>0</v>
      </c>
      <c r="EW226" s="15">
        <f t="shared" si="1134"/>
        <v>0</v>
      </c>
      <c r="EZ226" s="15">
        <f t="shared" si="1135"/>
        <v>0</v>
      </c>
      <c r="FC226" s="15">
        <f t="shared" si="1136"/>
        <v>0</v>
      </c>
      <c r="FF226" s="15">
        <f t="shared" si="1137"/>
        <v>0</v>
      </c>
      <c r="FI226" s="15">
        <f t="shared" si="1138"/>
        <v>0</v>
      </c>
      <c r="FL226" s="15">
        <f t="shared" si="1149"/>
        <v>0</v>
      </c>
      <c r="FO226" s="15">
        <f t="shared" si="1150"/>
        <v>0</v>
      </c>
      <c r="FR226" s="15">
        <v>0</v>
      </c>
      <c r="FW226" s="235" t="e">
        <f t="shared" si="1068"/>
        <v>#DIV/0!</v>
      </c>
      <c r="FZ226" s="15">
        <f t="shared" si="1139"/>
        <v>0</v>
      </c>
      <c r="GB226" s="15"/>
      <c r="GC226" s="15">
        <f t="shared" si="1140"/>
        <v>0</v>
      </c>
      <c r="GE226" s="15"/>
      <c r="GF226" s="15">
        <f t="shared" si="1141"/>
        <v>0</v>
      </c>
      <c r="GH226" s="15"/>
      <c r="GI226" s="15">
        <f t="shared" si="1142"/>
        <v>0</v>
      </c>
      <c r="GK226" s="15"/>
      <c r="GL226" s="15">
        <f t="shared" si="1143"/>
        <v>0</v>
      </c>
      <c r="GN226" s="15"/>
      <c r="GO226" s="15">
        <f t="shared" si="1144"/>
        <v>0</v>
      </c>
      <c r="GQ226" s="15"/>
      <c r="GR226" s="15">
        <f t="shared" si="1145"/>
        <v>0</v>
      </c>
      <c r="GT226" s="15"/>
      <c r="GU226" s="15">
        <f t="shared" si="1146"/>
        <v>0</v>
      </c>
      <c r="GW226" s="15"/>
      <c r="GX226" s="15">
        <f t="shared" si="1147"/>
        <v>0</v>
      </c>
      <c r="GZ226" s="15"/>
      <c r="HA226" s="189">
        <f t="shared" si="1148"/>
        <v>0</v>
      </c>
      <c r="HF226" s="235" t="e">
        <f t="shared" si="1079"/>
        <v>#DIV/0!</v>
      </c>
    </row>
    <row r="227" spans="1:214" outlineLevel="1">
      <c r="A227" s="1" t="s">
        <v>201</v>
      </c>
      <c r="B227" s="1" t="s">
        <v>115</v>
      </c>
      <c r="C227" s="4" t="s">
        <v>116</v>
      </c>
      <c r="D227" s="43">
        <v>35000</v>
      </c>
      <c r="E227" s="34">
        <v>3</v>
      </c>
      <c r="F227" s="43">
        <v>35000</v>
      </c>
      <c r="G227" s="34">
        <v>3</v>
      </c>
      <c r="H227" s="46">
        <v>1050</v>
      </c>
      <c r="I227" s="36">
        <v>1050</v>
      </c>
      <c r="J227" s="14"/>
      <c r="K227" t="s">
        <v>332</v>
      </c>
      <c r="L227" s="118">
        <v>1500</v>
      </c>
      <c r="M227" s="17">
        <f t="shared" si="960"/>
        <v>-0.95714285714285718</v>
      </c>
      <c r="N227" s="17">
        <f t="shared" si="961"/>
        <v>0.4285714285714286</v>
      </c>
      <c r="Q227" s="118">
        <v>1500</v>
      </c>
      <c r="R227" s="15">
        <v>0</v>
      </c>
      <c r="S227" s="118">
        <v>500</v>
      </c>
      <c r="T227" s="15">
        <f t="shared" si="1080"/>
        <v>-1000</v>
      </c>
      <c r="U227" s="16">
        <f t="shared" si="1003"/>
        <v>-0.66666666666666674</v>
      </c>
      <c r="Y227" s="118">
        <v>15500</v>
      </c>
      <c r="Z227">
        <v>15500</v>
      </c>
      <c r="AA227" s="118">
        <v>12000</v>
      </c>
      <c r="AB227" s="185">
        <f t="shared" si="1081"/>
        <v>-3500</v>
      </c>
      <c r="AC227" s="187">
        <f t="shared" si="1082"/>
        <v>-3500</v>
      </c>
      <c r="AD227" s="187"/>
      <c r="AE227" s="118">
        <v>12000</v>
      </c>
      <c r="AF227" s="182"/>
      <c r="AH227" s="15">
        <v>10000</v>
      </c>
      <c r="AI227" s="17">
        <f t="shared" ref="AI227:AI228" si="1151">AH227/AE227</f>
        <v>0.83333333333333337</v>
      </c>
      <c r="AK227" s="118">
        <v>1000</v>
      </c>
      <c r="AS227" s="15">
        <f t="shared" si="1083"/>
        <v>1000</v>
      </c>
      <c r="AV227" s="15">
        <f t="shared" si="1040"/>
        <v>1000</v>
      </c>
      <c r="AX227" s="15"/>
      <c r="AY227" s="15">
        <f t="shared" si="1084"/>
        <v>1000</v>
      </c>
      <c r="BB227" s="15">
        <f t="shared" si="1085"/>
        <v>1000</v>
      </c>
      <c r="BD227" s="15"/>
      <c r="BE227" s="15">
        <f t="shared" si="1086"/>
        <v>1000</v>
      </c>
      <c r="BG227" s="15">
        <v>1100</v>
      </c>
      <c r="BH227" s="15">
        <f t="shared" si="1087"/>
        <v>2100</v>
      </c>
      <c r="BJ227" s="15">
        <v>2100</v>
      </c>
      <c r="BK227" s="235">
        <f t="shared" si="1088"/>
        <v>1</v>
      </c>
      <c r="BM227" s="15">
        <v>1000</v>
      </c>
      <c r="BN227" s="235">
        <f t="shared" si="1046"/>
        <v>0.47619047619047616</v>
      </c>
      <c r="BO227" s="235">
        <f t="shared" si="1047"/>
        <v>0.47619047619047616</v>
      </c>
      <c r="BQ227" s="15"/>
      <c r="BR227" s="15">
        <f t="shared" si="1089"/>
        <v>1000</v>
      </c>
      <c r="BT227" s="15"/>
      <c r="BU227" s="15">
        <f t="shared" si="1090"/>
        <v>1000</v>
      </c>
      <c r="BW227" s="15"/>
      <c r="BX227" s="15">
        <f t="shared" si="1091"/>
        <v>1000</v>
      </c>
      <c r="BZ227" s="15"/>
      <c r="CA227" s="15">
        <f t="shared" si="1092"/>
        <v>1000</v>
      </c>
      <c r="CC227" s="15"/>
      <c r="CD227" s="15">
        <f t="shared" si="1093"/>
        <v>1000</v>
      </c>
      <c r="CF227" s="15"/>
      <c r="CG227" s="15">
        <f t="shared" si="1094"/>
        <v>1000</v>
      </c>
      <c r="CI227" s="15"/>
      <c r="CJ227" s="15">
        <f t="shared" si="1095"/>
        <v>1000</v>
      </c>
      <c r="CL227" s="15">
        <v>9000</v>
      </c>
      <c r="CM227" s="15">
        <f t="shared" si="1096"/>
        <v>10000</v>
      </c>
      <c r="CO227" s="15">
        <v>2500</v>
      </c>
      <c r="CP227" s="15">
        <f t="shared" si="1097"/>
        <v>12500</v>
      </c>
      <c r="CS227" s="15">
        <f t="shared" si="1098"/>
        <v>12500</v>
      </c>
      <c r="CU227" s="227">
        <v>-500</v>
      </c>
      <c r="CV227" s="15">
        <f t="shared" si="1099"/>
        <v>12000</v>
      </c>
      <c r="CX227" s="227"/>
      <c r="CY227" s="15">
        <f t="shared" si="1100"/>
        <v>12000</v>
      </c>
      <c r="DA227" s="15">
        <v>11776</v>
      </c>
      <c r="DC227" s="15">
        <v>10000</v>
      </c>
      <c r="DE227" s="15"/>
      <c r="DF227" s="15">
        <f t="shared" si="1121"/>
        <v>10000</v>
      </c>
      <c r="DH227" s="15"/>
      <c r="DI227" s="15">
        <f t="shared" si="1122"/>
        <v>10000</v>
      </c>
      <c r="DK227" s="15"/>
      <c r="DL227" s="15">
        <f t="shared" si="1123"/>
        <v>10000</v>
      </c>
      <c r="DN227" s="15"/>
      <c r="DO227" s="15">
        <f t="shared" si="1124"/>
        <v>10000</v>
      </c>
      <c r="DQ227" s="15"/>
      <c r="DR227" s="15">
        <f t="shared" si="1125"/>
        <v>10000</v>
      </c>
      <c r="DT227" s="15"/>
      <c r="DU227" s="15">
        <f t="shared" si="1126"/>
        <v>10000</v>
      </c>
      <c r="DW227" s="15"/>
      <c r="DX227" s="15">
        <f t="shared" si="1127"/>
        <v>10000</v>
      </c>
      <c r="DZ227" s="15"/>
      <c r="EA227" s="15">
        <f t="shared" si="1128"/>
        <v>10000</v>
      </c>
      <c r="EC227" s="15"/>
      <c r="ED227" s="15">
        <f t="shared" si="1129"/>
        <v>10000</v>
      </c>
      <c r="EF227" s="227">
        <v>-6000</v>
      </c>
      <c r="EG227" s="15">
        <f t="shared" si="1130"/>
        <v>4000</v>
      </c>
      <c r="EI227" s="15">
        <v>3988.45</v>
      </c>
      <c r="EK227" s="15">
        <v>5000</v>
      </c>
      <c r="EM227" s="15"/>
      <c r="EN227" s="15">
        <f t="shared" si="1131"/>
        <v>5000</v>
      </c>
      <c r="EP227" s="15"/>
      <c r="EQ227" s="15">
        <f t="shared" si="1132"/>
        <v>5000</v>
      </c>
      <c r="ES227" s="15"/>
      <c r="ET227" s="15">
        <f t="shared" si="1133"/>
        <v>5000</v>
      </c>
      <c r="EW227" s="15">
        <f t="shared" si="1134"/>
        <v>5000</v>
      </c>
      <c r="EZ227" s="15">
        <f t="shared" si="1135"/>
        <v>5000</v>
      </c>
      <c r="FC227" s="15">
        <f>EZ227+FB227</f>
        <v>5000</v>
      </c>
      <c r="FF227" s="15">
        <f>FC227+FE227</f>
        <v>5000</v>
      </c>
      <c r="FI227" s="15">
        <f>FF227+FH227</f>
        <v>5000</v>
      </c>
      <c r="FL227" s="15">
        <f>FI227+FK227</f>
        <v>5000</v>
      </c>
      <c r="FO227" s="15">
        <f>FL227+FN227</f>
        <v>5000</v>
      </c>
      <c r="FR227" s="15">
        <v>5000</v>
      </c>
      <c r="FT227" s="15">
        <v>2300</v>
      </c>
      <c r="FV227" s="15">
        <v>6000</v>
      </c>
      <c r="FW227" s="235">
        <f t="shared" si="1068"/>
        <v>2.6086956521739131</v>
      </c>
      <c r="FZ227" s="15">
        <f t="shared" si="1139"/>
        <v>6000</v>
      </c>
      <c r="GB227" s="15"/>
      <c r="GC227" s="15">
        <f t="shared" si="1140"/>
        <v>6000</v>
      </c>
      <c r="GE227" s="15"/>
      <c r="GF227" s="15">
        <f t="shared" si="1141"/>
        <v>6000</v>
      </c>
      <c r="GH227" s="15"/>
      <c r="GI227" s="15">
        <f t="shared" si="1142"/>
        <v>6000</v>
      </c>
      <c r="GK227" s="15"/>
      <c r="GL227" s="15">
        <f t="shared" si="1143"/>
        <v>6000</v>
      </c>
      <c r="GN227" s="15"/>
      <c r="GO227" s="15">
        <f t="shared" si="1144"/>
        <v>6000</v>
      </c>
      <c r="GQ227" s="15"/>
      <c r="GR227" s="15">
        <f t="shared" si="1145"/>
        <v>6000</v>
      </c>
      <c r="GT227" s="15"/>
      <c r="GU227" s="15">
        <f t="shared" si="1146"/>
        <v>6000</v>
      </c>
      <c r="GW227" s="15"/>
      <c r="GX227" s="15">
        <f t="shared" si="1147"/>
        <v>6000</v>
      </c>
      <c r="GZ227" s="15"/>
      <c r="HA227" s="189">
        <f t="shared" si="1148"/>
        <v>6000</v>
      </c>
      <c r="HC227" s="189">
        <v>4700</v>
      </c>
      <c r="HE227" s="15">
        <v>5000</v>
      </c>
      <c r="HF227" s="235">
        <f t="shared" si="1079"/>
        <v>1.0638297872340425</v>
      </c>
    </row>
    <row r="228" spans="1:214" outlineLevel="1">
      <c r="A228" s="1" t="s">
        <v>201</v>
      </c>
      <c r="B228" s="1" t="s">
        <v>117</v>
      </c>
      <c r="C228" s="4" t="s">
        <v>118</v>
      </c>
      <c r="D228" s="43">
        <v>160000</v>
      </c>
      <c r="E228" s="34">
        <v>17.87</v>
      </c>
      <c r="F228" s="43">
        <v>40000</v>
      </c>
      <c r="G228" s="34">
        <v>71.5</v>
      </c>
      <c r="H228" s="46">
        <v>28599</v>
      </c>
      <c r="I228" s="36">
        <v>28599</v>
      </c>
      <c r="J228" s="14"/>
      <c r="L228" s="118">
        <v>20000</v>
      </c>
      <c r="M228" s="17">
        <f t="shared" si="960"/>
        <v>-0.5</v>
      </c>
      <c r="N228" s="17">
        <f t="shared" si="961"/>
        <v>-0.30067484877093609</v>
      </c>
      <c r="Q228" s="118">
        <v>20000</v>
      </c>
      <c r="R228" s="15">
        <v>3993</v>
      </c>
      <c r="S228" s="118">
        <v>8000</v>
      </c>
      <c r="T228" s="15">
        <f t="shared" si="1080"/>
        <v>-12000</v>
      </c>
      <c r="U228" s="16">
        <f t="shared" si="1003"/>
        <v>-0.6</v>
      </c>
      <c r="Y228" s="118">
        <v>8000</v>
      </c>
      <c r="AA228" s="118">
        <v>8500</v>
      </c>
      <c r="AB228" s="185">
        <f t="shared" si="1081"/>
        <v>500</v>
      </c>
      <c r="AC228" s="187">
        <f t="shared" si="1082"/>
        <v>500</v>
      </c>
      <c r="AD228" s="187"/>
      <c r="AE228" s="118">
        <v>9400</v>
      </c>
      <c r="AF228" s="182">
        <f>AE228-AA228</f>
        <v>900</v>
      </c>
      <c r="AH228" s="15">
        <v>9338</v>
      </c>
      <c r="AI228" s="17">
        <f t="shared" si="1151"/>
        <v>0.99340425531914889</v>
      </c>
      <c r="AK228" s="118">
        <v>15000</v>
      </c>
      <c r="AS228" s="15">
        <f t="shared" si="1083"/>
        <v>15000</v>
      </c>
      <c r="AV228" s="15">
        <f t="shared" si="1040"/>
        <v>15000</v>
      </c>
      <c r="AX228" s="15"/>
      <c r="AY228" s="15">
        <f t="shared" si="1084"/>
        <v>15000</v>
      </c>
      <c r="BB228" s="15">
        <f t="shared" si="1085"/>
        <v>15000</v>
      </c>
      <c r="BD228" s="15">
        <v>-5000</v>
      </c>
      <c r="BE228" s="15">
        <f t="shared" si="1086"/>
        <v>10000</v>
      </c>
      <c r="BG228" s="15">
        <v>-2200</v>
      </c>
      <c r="BH228" s="15">
        <f t="shared" si="1087"/>
        <v>7800</v>
      </c>
      <c r="BJ228" s="15">
        <v>5156</v>
      </c>
      <c r="BK228" s="235">
        <f t="shared" si="1088"/>
        <v>0.66102564102564099</v>
      </c>
      <c r="BM228" s="15">
        <v>8000</v>
      </c>
      <c r="BN228" s="235">
        <f t="shared" si="1046"/>
        <v>1.5515903801396431</v>
      </c>
      <c r="BO228" s="235">
        <f t="shared" si="1047"/>
        <v>1.0256410256410255</v>
      </c>
      <c r="BQ228" s="15"/>
      <c r="BR228" s="15">
        <f t="shared" si="1089"/>
        <v>8000</v>
      </c>
      <c r="BT228" s="15"/>
      <c r="BU228" s="15">
        <f t="shared" si="1090"/>
        <v>8000</v>
      </c>
      <c r="BW228" s="15"/>
      <c r="BX228" s="15">
        <f t="shared" si="1091"/>
        <v>8000</v>
      </c>
      <c r="BZ228" s="15"/>
      <c r="CA228" s="15">
        <f t="shared" si="1092"/>
        <v>8000</v>
      </c>
      <c r="CC228" s="15"/>
      <c r="CD228" s="15">
        <f t="shared" si="1093"/>
        <v>8000</v>
      </c>
      <c r="CF228" s="15"/>
      <c r="CG228" s="15">
        <f t="shared" si="1094"/>
        <v>8000</v>
      </c>
      <c r="CH228">
        <v>6418.36</v>
      </c>
      <c r="CI228" s="227">
        <v>7000</v>
      </c>
      <c r="CJ228" s="15">
        <f t="shared" si="1095"/>
        <v>15000</v>
      </c>
      <c r="CM228" s="15">
        <f t="shared" si="1096"/>
        <v>15000</v>
      </c>
      <c r="CP228" s="15">
        <f t="shared" si="1097"/>
        <v>15000</v>
      </c>
      <c r="CS228" s="15">
        <f t="shared" si="1098"/>
        <v>15000</v>
      </c>
      <c r="CU228" s="227">
        <v>3000</v>
      </c>
      <c r="CV228" s="15">
        <f t="shared" si="1099"/>
        <v>18000</v>
      </c>
      <c r="CX228" s="227"/>
      <c r="CY228" s="15">
        <f t="shared" si="1100"/>
        <v>18000</v>
      </c>
      <c r="DA228" s="15">
        <v>17718.36</v>
      </c>
      <c r="DC228" s="15">
        <v>70000</v>
      </c>
      <c r="DE228" s="15"/>
      <c r="DF228" s="15">
        <f t="shared" si="1121"/>
        <v>70000</v>
      </c>
      <c r="DH228" s="15"/>
      <c r="DI228" s="15">
        <f t="shared" si="1122"/>
        <v>70000</v>
      </c>
      <c r="DK228" s="15"/>
      <c r="DL228" s="15">
        <f t="shared" si="1123"/>
        <v>70000</v>
      </c>
      <c r="DN228" s="15"/>
      <c r="DO228" s="15">
        <f t="shared" si="1124"/>
        <v>70000</v>
      </c>
      <c r="DQ228" s="227">
        <v>65000</v>
      </c>
      <c r="DR228" s="15">
        <f t="shared" si="1125"/>
        <v>135000</v>
      </c>
      <c r="DT228" s="15"/>
      <c r="DU228" s="15">
        <f t="shared" si="1126"/>
        <v>135000</v>
      </c>
      <c r="DW228" s="15"/>
      <c r="DX228" s="15">
        <f t="shared" si="1127"/>
        <v>135000</v>
      </c>
      <c r="DZ228" s="227">
        <v>2000</v>
      </c>
      <c r="EA228" s="15">
        <f t="shared" si="1128"/>
        <v>137000</v>
      </c>
      <c r="EC228" s="15"/>
      <c r="ED228" s="15">
        <f t="shared" si="1129"/>
        <v>137000</v>
      </c>
      <c r="EF228" s="15"/>
      <c r="EG228" s="15">
        <f t="shared" si="1130"/>
        <v>137000</v>
      </c>
      <c r="EI228" s="15">
        <v>136271.85999999999</v>
      </c>
      <c r="EK228" s="15">
        <v>5000</v>
      </c>
      <c r="EM228" s="15"/>
      <c r="EN228" s="15">
        <f t="shared" si="1131"/>
        <v>5000</v>
      </c>
      <c r="EP228" s="15"/>
      <c r="EQ228" s="15">
        <f t="shared" si="1132"/>
        <v>5000</v>
      </c>
      <c r="ES228" s="15"/>
      <c r="ET228" s="15">
        <f t="shared" si="1133"/>
        <v>5000</v>
      </c>
      <c r="EW228" s="15">
        <f t="shared" si="1134"/>
        <v>5000</v>
      </c>
      <c r="EZ228" s="15">
        <f t="shared" si="1135"/>
        <v>5000</v>
      </c>
      <c r="FC228" s="15">
        <f>EZ228+FB228</f>
        <v>5000</v>
      </c>
      <c r="FF228" s="15">
        <f>FC228+FE228</f>
        <v>5000</v>
      </c>
      <c r="FI228" s="15">
        <f>FF228+FH228</f>
        <v>5000</v>
      </c>
      <c r="FK228" s="227">
        <v>20000</v>
      </c>
      <c r="FL228" s="15">
        <f>FI228+FK228</f>
        <v>25000</v>
      </c>
      <c r="FO228" s="15">
        <f>FL228+FN228</f>
        <v>25000</v>
      </c>
      <c r="FR228" s="15">
        <v>25000</v>
      </c>
      <c r="FT228" s="15">
        <v>21711</v>
      </c>
      <c r="FV228" s="15">
        <v>25000</v>
      </c>
      <c r="FW228" s="235">
        <f t="shared" si="1068"/>
        <v>1.1514900280963567</v>
      </c>
      <c r="FY228" s="227">
        <v>-15000</v>
      </c>
      <c r="FZ228" s="15">
        <f t="shared" si="1139"/>
        <v>10000</v>
      </c>
      <c r="GB228" s="15"/>
      <c r="GC228" s="15">
        <f t="shared" si="1140"/>
        <v>10000</v>
      </c>
      <c r="GE228" s="15"/>
      <c r="GF228" s="15">
        <f t="shared" si="1141"/>
        <v>10000</v>
      </c>
      <c r="GH228" s="15"/>
      <c r="GI228" s="15">
        <f t="shared" si="1142"/>
        <v>10000</v>
      </c>
      <c r="GK228" s="15"/>
      <c r="GL228" s="15">
        <f t="shared" si="1143"/>
        <v>10000</v>
      </c>
      <c r="GN228" s="15"/>
      <c r="GO228" s="15">
        <f t="shared" si="1144"/>
        <v>10000</v>
      </c>
      <c r="GQ228" s="15"/>
      <c r="GR228" s="15">
        <f t="shared" si="1145"/>
        <v>10000</v>
      </c>
      <c r="GT228" s="15"/>
      <c r="GU228" s="15">
        <f t="shared" si="1146"/>
        <v>10000</v>
      </c>
      <c r="GW228" s="15"/>
      <c r="GX228" s="15">
        <f t="shared" si="1147"/>
        <v>10000</v>
      </c>
      <c r="GZ228" s="15"/>
      <c r="HA228" s="189">
        <f t="shared" si="1148"/>
        <v>10000</v>
      </c>
      <c r="HC228" s="189">
        <v>6401.9</v>
      </c>
      <c r="HE228" s="15">
        <v>10000</v>
      </c>
      <c r="HF228" s="235">
        <f t="shared" si="1079"/>
        <v>1.5620362704822006</v>
      </c>
    </row>
    <row r="229" spans="1:214" outlineLevel="1">
      <c r="A229" s="1" t="s">
        <v>201</v>
      </c>
      <c r="B229" s="1" t="s">
        <v>206</v>
      </c>
      <c r="C229" s="4" t="s">
        <v>207</v>
      </c>
      <c r="D229" s="43">
        <v>1000</v>
      </c>
      <c r="E229" s="34">
        <v>45.1</v>
      </c>
      <c r="F229" s="43">
        <v>1000</v>
      </c>
      <c r="G229" s="34">
        <v>45.1</v>
      </c>
      <c r="H229" s="46">
        <v>451</v>
      </c>
      <c r="I229" s="36">
        <v>451</v>
      </c>
      <c r="J229" s="14"/>
      <c r="L229" s="118">
        <v>1000</v>
      </c>
      <c r="M229" s="17">
        <f t="shared" si="960"/>
        <v>0</v>
      </c>
      <c r="N229" s="17">
        <f t="shared" si="961"/>
        <v>1.2172949002217295</v>
      </c>
      <c r="Q229" s="118">
        <v>1000</v>
      </c>
      <c r="R229" s="15">
        <v>0</v>
      </c>
      <c r="S229" s="118">
        <v>500</v>
      </c>
      <c r="T229" s="15">
        <f t="shared" si="1080"/>
        <v>-500</v>
      </c>
      <c r="U229" s="16">
        <f t="shared" si="1003"/>
        <v>-0.5</v>
      </c>
      <c r="Y229" s="118">
        <v>500</v>
      </c>
      <c r="AA229" s="118">
        <v>0</v>
      </c>
      <c r="AB229" s="185">
        <f t="shared" si="1081"/>
        <v>-500</v>
      </c>
      <c r="AC229" s="187">
        <f t="shared" si="1082"/>
        <v>-500</v>
      </c>
      <c r="AD229" s="187"/>
      <c r="AE229" s="118">
        <v>0</v>
      </c>
      <c r="AF229" s="182"/>
      <c r="AH229" s="15">
        <v>0</v>
      </c>
      <c r="AK229" s="118">
        <v>1000</v>
      </c>
      <c r="AS229" s="15">
        <f t="shared" si="1083"/>
        <v>1000</v>
      </c>
      <c r="AV229" s="15">
        <f t="shared" si="1040"/>
        <v>1000</v>
      </c>
      <c r="AX229" s="15"/>
      <c r="AY229" s="15">
        <f t="shared" si="1084"/>
        <v>1000</v>
      </c>
      <c r="BB229" s="15">
        <f t="shared" si="1085"/>
        <v>1000</v>
      </c>
      <c r="BD229" s="15"/>
      <c r="BE229" s="15">
        <f t="shared" si="1086"/>
        <v>1000</v>
      </c>
      <c r="BG229" s="15"/>
      <c r="BH229" s="15">
        <f t="shared" si="1087"/>
        <v>1000</v>
      </c>
      <c r="BJ229" s="15">
        <v>0</v>
      </c>
      <c r="BK229" s="235">
        <f t="shared" si="1088"/>
        <v>0</v>
      </c>
      <c r="BM229" s="15">
        <v>0</v>
      </c>
      <c r="BN229" s="235" t="e">
        <f t="shared" si="1046"/>
        <v>#DIV/0!</v>
      </c>
      <c r="BO229" s="235">
        <f t="shared" si="1047"/>
        <v>0</v>
      </c>
      <c r="BQ229" s="15"/>
      <c r="BR229" s="15">
        <f t="shared" si="1089"/>
        <v>0</v>
      </c>
      <c r="BT229" s="15"/>
      <c r="BU229" s="15">
        <f t="shared" si="1090"/>
        <v>0</v>
      </c>
      <c r="BW229" s="15"/>
      <c r="BX229" s="15">
        <f t="shared" si="1091"/>
        <v>0</v>
      </c>
      <c r="BZ229" s="15"/>
      <c r="CA229" s="15">
        <f t="shared" si="1092"/>
        <v>0</v>
      </c>
      <c r="CC229" s="15"/>
      <c r="CD229" s="15">
        <f t="shared" si="1093"/>
        <v>0</v>
      </c>
      <c r="CF229" s="15"/>
      <c r="CG229" s="15">
        <f t="shared" si="1094"/>
        <v>0</v>
      </c>
      <c r="CI229" s="15"/>
      <c r="CJ229" s="15">
        <f t="shared" si="1095"/>
        <v>0</v>
      </c>
      <c r="CM229" s="15">
        <f t="shared" si="1096"/>
        <v>0</v>
      </c>
      <c r="CP229" s="15">
        <f t="shared" si="1097"/>
        <v>0</v>
      </c>
      <c r="CS229" s="15">
        <f t="shared" si="1098"/>
        <v>0</v>
      </c>
      <c r="CV229" s="15">
        <f t="shared" si="1099"/>
        <v>0</v>
      </c>
      <c r="CY229" s="15">
        <f t="shared" si="1100"/>
        <v>0</v>
      </c>
      <c r="DE229" s="15"/>
      <c r="DF229" s="15">
        <f t="shared" si="1121"/>
        <v>0</v>
      </c>
      <c r="DH229" s="15"/>
      <c r="DI229" s="15">
        <f t="shared" si="1122"/>
        <v>0</v>
      </c>
      <c r="DK229" s="15"/>
      <c r="DL229" s="15">
        <f t="shared" si="1123"/>
        <v>0</v>
      </c>
      <c r="DN229" s="15"/>
      <c r="DO229" s="15">
        <f t="shared" si="1124"/>
        <v>0</v>
      </c>
      <c r="DQ229" s="15"/>
      <c r="DR229" s="15">
        <f t="shared" si="1125"/>
        <v>0</v>
      </c>
      <c r="DT229" s="15"/>
      <c r="DU229" s="15">
        <f t="shared" si="1126"/>
        <v>0</v>
      </c>
      <c r="DW229" s="15"/>
      <c r="DX229" s="15">
        <f t="shared" si="1127"/>
        <v>0</v>
      </c>
      <c r="DZ229" s="15"/>
      <c r="EA229" s="15">
        <f t="shared" si="1128"/>
        <v>0</v>
      </c>
      <c r="EC229" s="15"/>
      <c r="ED229" s="15">
        <f t="shared" si="1129"/>
        <v>0</v>
      </c>
      <c r="EF229" s="15"/>
      <c r="EG229" s="15">
        <f t="shared" si="1130"/>
        <v>0</v>
      </c>
      <c r="EK229" s="15"/>
      <c r="EM229" s="15"/>
      <c r="EN229" s="15">
        <f t="shared" si="1131"/>
        <v>0</v>
      </c>
      <c r="EP229" s="15"/>
      <c r="EQ229" s="15">
        <f t="shared" si="1132"/>
        <v>0</v>
      </c>
      <c r="ES229" s="15"/>
      <c r="ET229" s="15">
        <f t="shared" si="1133"/>
        <v>0</v>
      </c>
      <c r="EW229" s="15">
        <f t="shared" si="1134"/>
        <v>0</v>
      </c>
      <c r="EZ229" s="15">
        <f t="shared" si="1135"/>
        <v>0</v>
      </c>
      <c r="FC229" s="15">
        <f t="shared" si="1136"/>
        <v>0</v>
      </c>
      <c r="FF229" s="15">
        <f t="shared" ref="FF229:FF230" si="1152">FC229+FE229</f>
        <v>0</v>
      </c>
      <c r="FI229" s="15">
        <f t="shared" ref="FI229:FI230" si="1153">FF229+FH229</f>
        <v>0</v>
      </c>
      <c r="FL229" s="15">
        <f t="shared" ref="FL229:FL230" si="1154">FI229+FK229</f>
        <v>0</v>
      </c>
      <c r="FO229" s="15">
        <f t="shared" ref="FO229:FO230" si="1155">FL229+FN229</f>
        <v>0</v>
      </c>
      <c r="FR229" s="15">
        <v>0</v>
      </c>
      <c r="FW229" s="235" t="e">
        <f t="shared" si="1068"/>
        <v>#DIV/0!</v>
      </c>
      <c r="FZ229" s="15">
        <f t="shared" si="1139"/>
        <v>0</v>
      </c>
      <c r="GB229" s="15"/>
      <c r="GC229" s="15">
        <f t="shared" si="1140"/>
        <v>0</v>
      </c>
      <c r="GE229" s="15"/>
      <c r="GF229" s="15">
        <f t="shared" si="1141"/>
        <v>0</v>
      </c>
      <c r="GH229" s="15"/>
      <c r="GI229" s="15">
        <f t="shared" si="1142"/>
        <v>0</v>
      </c>
      <c r="GK229" s="15"/>
      <c r="GL229" s="15">
        <f t="shared" si="1143"/>
        <v>0</v>
      </c>
      <c r="GN229" s="15"/>
      <c r="GO229" s="15">
        <f t="shared" si="1144"/>
        <v>0</v>
      </c>
      <c r="GQ229" s="15"/>
      <c r="GR229" s="15">
        <f t="shared" si="1145"/>
        <v>0</v>
      </c>
      <c r="GT229" s="15"/>
      <c r="GU229" s="15">
        <f t="shared" si="1146"/>
        <v>0</v>
      </c>
      <c r="GW229" s="15"/>
      <c r="GX229" s="15">
        <f t="shared" si="1147"/>
        <v>0</v>
      </c>
      <c r="GZ229" s="15"/>
      <c r="HA229" s="189">
        <f t="shared" si="1148"/>
        <v>0</v>
      </c>
      <c r="HE229" s="15">
        <v>0</v>
      </c>
      <c r="HF229" s="235" t="e">
        <f t="shared" si="1079"/>
        <v>#DIV/0!</v>
      </c>
    </row>
    <row r="230" spans="1:214" outlineLevel="1">
      <c r="A230" s="1" t="s">
        <v>201</v>
      </c>
      <c r="B230" s="1" t="s">
        <v>148</v>
      </c>
      <c r="C230" s="4" t="s">
        <v>149</v>
      </c>
      <c r="D230" s="43"/>
      <c r="E230" s="34"/>
      <c r="F230" s="43"/>
      <c r="G230" s="34"/>
      <c r="H230" s="46"/>
      <c r="I230" s="36"/>
      <c r="J230" s="14"/>
      <c r="M230" s="17"/>
      <c r="N230" s="17"/>
      <c r="U230" s="16"/>
      <c r="Y230" s="118">
        <v>2500</v>
      </c>
      <c r="Z230">
        <v>2500</v>
      </c>
      <c r="AA230" s="118">
        <v>1600</v>
      </c>
      <c r="AB230" s="185">
        <f t="shared" si="1081"/>
        <v>-900</v>
      </c>
      <c r="AC230" s="187">
        <f t="shared" si="1082"/>
        <v>-900</v>
      </c>
      <c r="AD230" s="187"/>
      <c r="AE230" s="118">
        <v>1600</v>
      </c>
      <c r="AF230" s="182"/>
      <c r="AH230" s="15">
        <v>1600</v>
      </c>
      <c r="AI230" s="17">
        <f t="shared" ref="AI230" si="1156">AH230/AE230</f>
        <v>1</v>
      </c>
      <c r="AK230" s="118">
        <v>0</v>
      </c>
      <c r="AS230" s="15">
        <f t="shared" si="1083"/>
        <v>0</v>
      </c>
      <c r="AV230" s="15">
        <f t="shared" si="1040"/>
        <v>0</v>
      </c>
      <c r="AX230" s="15"/>
      <c r="AY230" s="15">
        <f t="shared" si="1084"/>
        <v>0</v>
      </c>
      <c r="BB230" s="15">
        <f t="shared" si="1085"/>
        <v>0</v>
      </c>
      <c r="BD230" s="15"/>
      <c r="BE230" s="15">
        <f t="shared" si="1086"/>
        <v>0</v>
      </c>
      <c r="BG230" s="15"/>
      <c r="BH230" s="15">
        <f t="shared" si="1087"/>
        <v>0</v>
      </c>
      <c r="BJ230" s="15">
        <v>0</v>
      </c>
      <c r="BK230" s="235" t="e">
        <f t="shared" si="1088"/>
        <v>#DIV/0!</v>
      </c>
      <c r="BM230" s="15">
        <v>0</v>
      </c>
      <c r="BN230" s="235" t="e">
        <f t="shared" si="1046"/>
        <v>#DIV/0!</v>
      </c>
      <c r="BO230" s="235" t="e">
        <f t="shared" si="1047"/>
        <v>#DIV/0!</v>
      </c>
      <c r="BQ230" s="15"/>
      <c r="BR230" s="15">
        <f t="shared" si="1089"/>
        <v>0</v>
      </c>
      <c r="BT230" s="15"/>
      <c r="BU230" s="15">
        <f t="shared" si="1090"/>
        <v>0</v>
      </c>
      <c r="BW230" s="15"/>
      <c r="BX230" s="15">
        <f t="shared" si="1091"/>
        <v>0</v>
      </c>
      <c r="BZ230" s="15"/>
      <c r="CA230" s="15">
        <f t="shared" si="1092"/>
        <v>0</v>
      </c>
      <c r="CC230" s="15"/>
      <c r="CD230" s="15">
        <f t="shared" si="1093"/>
        <v>0</v>
      </c>
      <c r="CF230" s="15"/>
      <c r="CG230" s="15">
        <f t="shared" si="1094"/>
        <v>0</v>
      </c>
      <c r="CI230" s="15"/>
      <c r="CJ230" s="15">
        <f t="shared" si="1095"/>
        <v>0</v>
      </c>
      <c r="CM230" s="15">
        <f t="shared" si="1096"/>
        <v>0</v>
      </c>
      <c r="CP230" s="15">
        <f t="shared" si="1097"/>
        <v>0</v>
      </c>
      <c r="CS230" s="15">
        <f t="shared" si="1098"/>
        <v>0</v>
      </c>
      <c r="CV230" s="15">
        <f t="shared" si="1099"/>
        <v>0</v>
      </c>
      <c r="CY230" s="15">
        <f t="shared" si="1100"/>
        <v>0</v>
      </c>
      <c r="DE230" s="15"/>
      <c r="DF230" s="15">
        <f t="shared" si="1121"/>
        <v>0</v>
      </c>
      <c r="DH230" s="15"/>
      <c r="DI230" s="15">
        <f t="shared" si="1122"/>
        <v>0</v>
      </c>
      <c r="DK230" s="15"/>
      <c r="DL230" s="15">
        <f t="shared" si="1123"/>
        <v>0</v>
      </c>
      <c r="DN230" s="15"/>
      <c r="DO230" s="15">
        <f t="shared" si="1124"/>
        <v>0</v>
      </c>
      <c r="DQ230" s="15"/>
      <c r="DR230" s="15">
        <f t="shared" si="1125"/>
        <v>0</v>
      </c>
      <c r="DT230" s="15"/>
      <c r="DU230" s="15">
        <f t="shared" si="1126"/>
        <v>0</v>
      </c>
      <c r="DW230" s="15"/>
      <c r="DX230" s="15">
        <f t="shared" si="1127"/>
        <v>0</v>
      </c>
      <c r="DZ230" s="15"/>
      <c r="EA230" s="15">
        <f t="shared" si="1128"/>
        <v>0</v>
      </c>
      <c r="EC230" s="15"/>
      <c r="ED230" s="15">
        <f t="shared" si="1129"/>
        <v>0</v>
      </c>
      <c r="EF230" s="15"/>
      <c r="EG230" s="15">
        <f t="shared" si="1130"/>
        <v>0</v>
      </c>
      <c r="EK230" s="15"/>
      <c r="EM230" s="15"/>
      <c r="EN230" s="15">
        <f t="shared" si="1131"/>
        <v>0</v>
      </c>
      <c r="EP230" s="15"/>
      <c r="EQ230" s="15">
        <f t="shared" si="1132"/>
        <v>0</v>
      </c>
      <c r="ES230" s="15"/>
      <c r="ET230" s="15">
        <f t="shared" si="1133"/>
        <v>0</v>
      </c>
      <c r="EW230" s="15">
        <f t="shared" si="1134"/>
        <v>0</v>
      </c>
      <c r="EZ230" s="15">
        <f t="shared" si="1135"/>
        <v>0</v>
      </c>
      <c r="FC230" s="15">
        <f t="shared" si="1136"/>
        <v>0</v>
      </c>
      <c r="FF230" s="15">
        <f t="shared" si="1152"/>
        <v>0</v>
      </c>
      <c r="FH230" s="227">
        <v>700</v>
      </c>
      <c r="FI230" s="15">
        <f t="shared" si="1153"/>
        <v>700</v>
      </c>
      <c r="FL230" s="15">
        <f t="shared" si="1154"/>
        <v>700</v>
      </c>
      <c r="FO230" s="15">
        <f t="shared" si="1155"/>
        <v>700</v>
      </c>
      <c r="FR230" s="15">
        <v>700</v>
      </c>
      <c r="FT230" s="15">
        <v>634</v>
      </c>
      <c r="FV230" s="15">
        <v>500</v>
      </c>
      <c r="FW230" s="235">
        <f t="shared" si="1068"/>
        <v>0.78864353312302837</v>
      </c>
      <c r="FZ230" s="15">
        <f t="shared" si="1139"/>
        <v>500</v>
      </c>
      <c r="GB230" s="15"/>
      <c r="GC230" s="15">
        <f t="shared" si="1140"/>
        <v>500</v>
      </c>
      <c r="GE230" s="15"/>
      <c r="GF230" s="15">
        <f t="shared" si="1141"/>
        <v>500</v>
      </c>
      <c r="GH230" s="15"/>
      <c r="GI230" s="15">
        <f t="shared" si="1142"/>
        <v>500</v>
      </c>
      <c r="GK230" s="15"/>
      <c r="GL230" s="15">
        <f t="shared" si="1143"/>
        <v>500</v>
      </c>
      <c r="GN230" s="15"/>
      <c r="GO230" s="15">
        <f t="shared" si="1144"/>
        <v>500</v>
      </c>
      <c r="GQ230" s="227">
        <v>6000</v>
      </c>
      <c r="GR230" s="15">
        <f t="shared" si="1145"/>
        <v>6500</v>
      </c>
      <c r="GT230" s="227">
        <v>700</v>
      </c>
      <c r="GU230" s="15">
        <f t="shared" si="1146"/>
        <v>7200</v>
      </c>
      <c r="GW230" s="15"/>
      <c r="GX230" s="15">
        <f t="shared" si="1147"/>
        <v>7200</v>
      </c>
      <c r="GZ230" s="15"/>
      <c r="HA230" s="189">
        <f t="shared" si="1148"/>
        <v>7200</v>
      </c>
      <c r="HC230" s="189">
        <v>6610</v>
      </c>
      <c r="HE230" s="15">
        <v>5000</v>
      </c>
      <c r="HF230" s="235">
        <f t="shared" si="1079"/>
        <v>0.75642965204236001</v>
      </c>
    </row>
    <row r="231" spans="1:214" outlineLevel="1">
      <c r="A231" s="1" t="s">
        <v>201</v>
      </c>
      <c r="B231" s="1" t="s">
        <v>150</v>
      </c>
      <c r="C231" s="4" t="s">
        <v>151</v>
      </c>
      <c r="D231" s="43">
        <v>500</v>
      </c>
      <c r="E231" s="34">
        <v>0</v>
      </c>
      <c r="F231" s="43">
        <v>500</v>
      </c>
      <c r="G231" s="34">
        <v>0</v>
      </c>
      <c r="H231" s="46">
        <v>0</v>
      </c>
      <c r="I231" s="36">
        <v>0</v>
      </c>
      <c r="J231" s="14"/>
      <c r="L231" s="118">
        <v>0</v>
      </c>
      <c r="M231" s="17">
        <f t="shared" si="960"/>
        <v>-1</v>
      </c>
      <c r="N231" s="17" t="e">
        <f t="shared" si="961"/>
        <v>#DIV/0!</v>
      </c>
      <c r="U231" s="16"/>
      <c r="Y231" s="118"/>
      <c r="AB231" s="185">
        <f t="shared" si="1081"/>
        <v>0</v>
      </c>
      <c r="AC231" s="187">
        <f t="shared" si="1082"/>
        <v>0</v>
      </c>
      <c r="AD231" s="187"/>
      <c r="AF231" s="182"/>
      <c r="AH231" s="15"/>
      <c r="AX231" s="15"/>
      <c r="BD231" s="15"/>
      <c r="BG231" s="15"/>
      <c r="BM231" s="15">
        <v>0</v>
      </c>
      <c r="BN231" s="235" t="e">
        <f t="shared" si="1046"/>
        <v>#DIV/0!</v>
      </c>
      <c r="BO231" s="235" t="e">
        <f t="shared" si="1047"/>
        <v>#DIV/0!</v>
      </c>
      <c r="BQ231" s="15"/>
      <c r="BR231" s="15">
        <f t="shared" si="1089"/>
        <v>0</v>
      </c>
      <c r="BT231" s="15"/>
      <c r="BU231" s="15">
        <f t="shared" si="1090"/>
        <v>0</v>
      </c>
      <c r="BW231" s="15"/>
      <c r="BX231" s="15">
        <f t="shared" si="1091"/>
        <v>0</v>
      </c>
      <c r="BZ231" s="15"/>
      <c r="CA231" s="15">
        <f t="shared" si="1092"/>
        <v>0</v>
      </c>
      <c r="CC231" s="15"/>
      <c r="CD231" s="15">
        <f t="shared" si="1093"/>
        <v>0</v>
      </c>
      <c r="CF231" s="15"/>
      <c r="CG231" s="15">
        <f t="shared" si="1094"/>
        <v>0</v>
      </c>
      <c r="CI231" s="15"/>
      <c r="CJ231" s="15">
        <f t="shared" si="1095"/>
        <v>0</v>
      </c>
      <c r="CM231" s="15">
        <f t="shared" si="1096"/>
        <v>0</v>
      </c>
      <c r="CP231" s="15">
        <f t="shared" si="1097"/>
        <v>0</v>
      </c>
      <c r="CS231" s="15">
        <f t="shared" si="1098"/>
        <v>0</v>
      </c>
      <c r="CV231" s="15">
        <f t="shared" si="1099"/>
        <v>0</v>
      </c>
      <c r="CY231" s="15">
        <f t="shared" si="1100"/>
        <v>0</v>
      </c>
      <c r="DE231" s="15"/>
      <c r="DH231" s="15"/>
      <c r="DK231" s="15"/>
      <c r="DN231" s="15"/>
      <c r="DQ231" s="15"/>
      <c r="DT231" s="15"/>
      <c r="DW231" s="15"/>
      <c r="DZ231" s="15"/>
      <c r="EC231" s="15"/>
      <c r="EF231" s="15"/>
      <c r="EK231" s="15"/>
      <c r="EM231" s="15"/>
      <c r="EP231" s="15"/>
      <c r="ES231" s="15"/>
      <c r="FM231" t="s">
        <v>435</v>
      </c>
      <c r="FW231" s="235" t="e">
        <f t="shared" si="1068"/>
        <v>#DIV/0!</v>
      </c>
      <c r="GB231" s="15"/>
      <c r="GE231" s="15"/>
      <c r="GH231" s="15"/>
      <c r="GK231" s="15"/>
      <c r="GN231" s="15"/>
      <c r="GQ231" s="15"/>
      <c r="GT231" s="15"/>
      <c r="GW231" s="15"/>
      <c r="GZ231" s="15"/>
      <c r="HE231" s="15">
        <v>4000</v>
      </c>
      <c r="HF231" s="235" t="e">
        <f t="shared" si="1079"/>
        <v>#DIV/0!</v>
      </c>
    </row>
    <row r="232" spans="1:214" outlineLevel="1">
      <c r="A232" s="1" t="s">
        <v>201</v>
      </c>
      <c r="B232" s="1" t="s">
        <v>107</v>
      </c>
      <c r="C232" s="4" t="s">
        <v>108</v>
      </c>
      <c r="D232" s="43">
        <v>10000</v>
      </c>
      <c r="E232" s="34">
        <v>100</v>
      </c>
      <c r="F232" s="43">
        <v>10000</v>
      </c>
      <c r="G232" s="34">
        <v>100</v>
      </c>
      <c r="H232" s="46">
        <v>10000</v>
      </c>
      <c r="I232" s="36">
        <f>H232</f>
        <v>10000</v>
      </c>
      <c r="J232" s="14"/>
      <c r="L232" s="118">
        <v>10000</v>
      </c>
      <c r="M232" s="17">
        <f t="shared" si="960"/>
        <v>0</v>
      </c>
      <c r="N232" s="17">
        <f t="shared" si="961"/>
        <v>0</v>
      </c>
      <c r="Q232" s="118">
        <v>10000</v>
      </c>
      <c r="R232" s="15">
        <v>10000</v>
      </c>
      <c r="S232" s="118">
        <v>10000</v>
      </c>
      <c r="T232" s="15">
        <f t="shared" si="1080"/>
        <v>0</v>
      </c>
      <c r="U232" s="16">
        <f t="shared" si="1003"/>
        <v>0</v>
      </c>
      <c r="Y232" s="118">
        <v>10000</v>
      </c>
      <c r="AA232" s="118">
        <v>10000</v>
      </c>
      <c r="AB232" s="185">
        <f t="shared" si="1081"/>
        <v>0</v>
      </c>
      <c r="AC232" s="187">
        <f>AA232-Y232</f>
        <v>0</v>
      </c>
      <c r="AD232" s="187"/>
      <c r="AE232" s="118">
        <v>10000</v>
      </c>
      <c r="AF232" s="182"/>
      <c r="AH232" s="15">
        <v>10000</v>
      </c>
      <c r="AI232" s="17">
        <f t="shared" ref="AI232:AI233" si="1157">AH232/AE232</f>
        <v>1</v>
      </c>
      <c r="AK232" s="118">
        <v>10000</v>
      </c>
      <c r="AS232" s="15">
        <f t="shared" ref="AS232:AS237" si="1158">AR232+AK232</f>
        <v>10000</v>
      </c>
      <c r="AV232" s="15">
        <f t="shared" ref="AV232:AV237" si="1159">AS232+AU232</f>
        <v>10000</v>
      </c>
      <c r="AX232" s="15"/>
      <c r="AY232" s="15">
        <f t="shared" ref="AY232:AY237" si="1160">AV232+AX232</f>
        <v>10000</v>
      </c>
      <c r="BB232" s="15">
        <f t="shared" ref="BB232:BB237" si="1161">AY232+BA232</f>
        <v>10000</v>
      </c>
      <c r="BD232" s="15">
        <v>-10000</v>
      </c>
      <c r="BE232" s="15">
        <f t="shared" ref="BE232:BE237" si="1162">BB232+BD232</f>
        <v>0</v>
      </c>
      <c r="BG232" s="15"/>
      <c r="BH232" s="15">
        <f t="shared" ref="BH232:BH237" si="1163">BE232+BG232</f>
        <v>0</v>
      </c>
      <c r="BJ232" s="15">
        <v>0</v>
      </c>
      <c r="BM232" s="15">
        <v>10000</v>
      </c>
      <c r="BN232" s="235" t="e">
        <f t="shared" si="1046"/>
        <v>#DIV/0!</v>
      </c>
      <c r="BO232" s="235" t="e">
        <f t="shared" si="1047"/>
        <v>#DIV/0!</v>
      </c>
      <c r="BQ232" s="15"/>
      <c r="BR232" s="15">
        <f t="shared" si="1089"/>
        <v>10000</v>
      </c>
      <c r="BT232" s="15"/>
      <c r="BU232" s="15">
        <f t="shared" si="1090"/>
        <v>10000</v>
      </c>
      <c r="BW232" s="15"/>
      <c r="BX232" s="15">
        <f t="shared" si="1091"/>
        <v>10000</v>
      </c>
      <c r="BZ232" s="15"/>
      <c r="CA232" s="15">
        <f t="shared" si="1092"/>
        <v>10000</v>
      </c>
      <c r="CC232" s="15"/>
      <c r="CD232" s="15">
        <f t="shared" si="1093"/>
        <v>10000</v>
      </c>
      <c r="CF232" s="15"/>
      <c r="CG232" s="15">
        <f t="shared" si="1094"/>
        <v>10000</v>
      </c>
      <c r="CI232" s="15"/>
      <c r="CJ232" s="15">
        <f t="shared" si="1095"/>
        <v>10000</v>
      </c>
      <c r="CM232" s="15">
        <f t="shared" si="1096"/>
        <v>10000</v>
      </c>
      <c r="CP232" s="15">
        <f t="shared" si="1097"/>
        <v>10000</v>
      </c>
      <c r="CS232" s="15">
        <f t="shared" si="1098"/>
        <v>10000</v>
      </c>
      <c r="CV232" s="15">
        <f t="shared" si="1099"/>
        <v>10000</v>
      </c>
      <c r="CY232" s="15">
        <f t="shared" si="1100"/>
        <v>10000</v>
      </c>
      <c r="DA232" s="15">
        <v>10000</v>
      </c>
      <c r="DC232" s="15">
        <v>20000</v>
      </c>
      <c r="DE232" s="15"/>
      <c r="DF232" s="15">
        <f t="shared" ref="DF232:DF237" si="1164">DC232+DE232</f>
        <v>20000</v>
      </c>
      <c r="DH232" s="15"/>
      <c r="DI232" s="15">
        <f t="shared" ref="DI232:DI237" si="1165">DF232+DH232</f>
        <v>20000</v>
      </c>
      <c r="DK232" s="15"/>
      <c r="DL232" s="15">
        <f t="shared" ref="DL232:DL237" si="1166">DI232+DK232</f>
        <v>20000</v>
      </c>
      <c r="DN232" s="15"/>
      <c r="DO232" s="15">
        <f t="shared" ref="DO232:DO237" si="1167">DL232+DN232</f>
        <v>20000</v>
      </c>
      <c r="DQ232" s="15"/>
      <c r="DR232" s="15">
        <f t="shared" ref="DR232:DR237" si="1168">DO232+DQ232</f>
        <v>20000</v>
      </c>
      <c r="DT232" s="15"/>
      <c r="DU232" s="15">
        <f t="shared" ref="DU232:DU237" si="1169">DR232+DT232</f>
        <v>20000</v>
      </c>
      <c r="DW232" s="15"/>
      <c r="DX232" s="15">
        <f t="shared" ref="DX232:DX237" si="1170">DU232+DW232</f>
        <v>20000</v>
      </c>
      <c r="DZ232" s="15"/>
      <c r="EA232" s="15">
        <f t="shared" ref="EA232:EA237" si="1171">DX232+DZ232</f>
        <v>20000</v>
      </c>
      <c r="EC232" s="15"/>
      <c r="ED232" s="15">
        <f t="shared" ref="ED232:ED237" si="1172">EA232+EC232</f>
        <v>20000</v>
      </c>
      <c r="EF232" s="15"/>
      <c r="EG232" s="15">
        <f t="shared" ref="EG232:EG237" si="1173">ED232+EF232</f>
        <v>20000</v>
      </c>
      <c r="EI232" s="15">
        <v>20000</v>
      </c>
      <c r="EK232" s="15">
        <v>10000</v>
      </c>
      <c r="EM232" s="15"/>
      <c r="EN232" s="15">
        <f t="shared" ref="EN232:EN237" si="1174">EK232+EM232</f>
        <v>10000</v>
      </c>
      <c r="EP232" s="15"/>
      <c r="EQ232" s="15">
        <f t="shared" ref="EQ232:EQ237" si="1175">EN232+EP232</f>
        <v>10000</v>
      </c>
      <c r="ES232" s="15"/>
      <c r="ET232" s="15">
        <f t="shared" ref="ET232:ET237" si="1176">EQ232+ES232</f>
        <v>10000</v>
      </c>
      <c r="EW232" s="15">
        <f t="shared" ref="EW232:EW237" si="1177">ET232+EV232</f>
        <v>10000</v>
      </c>
      <c r="EZ232" s="15">
        <f t="shared" ref="EZ232:EZ237" si="1178">EW232+EY232</f>
        <v>10000</v>
      </c>
      <c r="FB232" s="227">
        <v>-10000</v>
      </c>
      <c r="FC232" s="15">
        <f t="shared" ref="FC232:FC237" si="1179">EZ232+FB232</f>
        <v>0</v>
      </c>
      <c r="FF232" s="15">
        <f t="shared" ref="FF232:FF237" si="1180">FC232+FE232</f>
        <v>0</v>
      </c>
      <c r="FH232" s="227">
        <v>10000</v>
      </c>
      <c r="FI232" s="15">
        <f t="shared" ref="FI232:FI237" si="1181">FF232+FH232</f>
        <v>10000</v>
      </c>
      <c r="FL232" s="15">
        <f t="shared" ref="FL232:FL237" si="1182">FI232+FK232</f>
        <v>10000</v>
      </c>
      <c r="FO232" s="15">
        <f t="shared" ref="FO232:FO237" si="1183">FL232+FN232</f>
        <v>10000</v>
      </c>
      <c r="FR232" s="15">
        <v>10000</v>
      </c>
      <c r="FT232" s="15">
        <v>10000</v>
      </c>
      <c r="FV232" s="15">
        <v>10000</v>
      </c>
      <c r="FW232" s="235">
        <f t="shared" si="1068"/>
        <v>1</v>
      </c>
      <c r="FZ232" s="15">
        <f t="shared" ref="FZ232:FZ237" si="1184">FV232+FY232</f>
        <v>10000</v>
      </c>
      <c r="GB232" s="15"/>
      <c r="GC232" s="15">
        <f t="shared" ref="GC232:GC237" si="1185">FZ232+GB232</f>
        <v>10000</v>
      </c>
      <c r="GE232" s="15"/>
      <c r="GF232" s="15">
        <f t="shared" ref="GF232:GF237" si="1186">GC232+GE232</f>
        <v>10000</v>
      </c>
      <c r="GH232" s="15"/>
      <c r="GI232" s="15">
        <f t="shared" ref="GI232:GI237" si="1187">GF232+GH232</f>
        <v>10000</v>
      </c>
      <c r="GK232" s="15"/>
      <c r="GL232" s="15">
        <f t="shared" ref="GL232:GL237" si="1188">GI232+GK232</f>
        <v>10000</v>
      </c>
      <c r="GN232" s="15"/>
      <c r="GO232" s="15">
        <f t="shared" ref="GO232:GO237" si="1189">GL232+GN232</f>
        <v>10000</v>
      </c>
      <c r="GQ232" s="15"/>
      <c r="GR232" s="15">
        <f t="shared" ref="GR232:GR237" si="1190">GO232+GQ232</f>
        <v>10000</v>
      </c>
      <c r="GT232" s="15"/>
      <c r="GU232" s="15">
        <f t="shared" ref="GU232:GU237" si="1191">GR232+GT232</f>
        <v>10000</v>
      </c>
      <c r="GW232" s="15"/>
      <c r="GX232" s="15">
        <f t="shared" ref="GX232:GX237" si="1192">GU232+GW232</f>
        <v>10000</v>
      </c>
      <c r="GZ232" s="15"/>
      <c r="HA232" s="189">
        <f t="shared" ref="HA232:HA237" si="1193">GX232+GZ232</f>
        <v>10000</v>
      </c>
      <c r="HC232" s="189">
        <v>10000</v>
      </c>
      <c r="HE232" s="15">
        <v>10000</v>
      </c>
      <c r="HF232" s="235">
        <f t="shared" si="1079"/>
        <v>1</v>
      </c>
    </row>
    <row r="233" spans="1:214" outlineLevel="1">
      <c r="A233" s="1" t="s">
        <v>201</v>
      </c>
      <c r="B233" s="1" t="s">
        <v>249</v>
      </c>
      <c r="C233" s="4" t="s">
        <v>420</v>
      </c>
      <c r="D233" s="43"/>
      <c r="E233" s="34"/>
      <c r="F233" s="43"/>
      <c r="G233" s="34"/>
      <c r="H233" s="46"/>
      <c r="I233" s="36"/>
      <c r="J233" s="14"/>
      <c r="M233" s="17"/>
      <c r="N233" s="17"/>
      <c r="U233" s="16"/>
      <c r="Y233" s="118"/>
      <c r="AA233" s="118">
        <v>1300</v>
      </c>
      <c r="AB233" s="185">
        <f t="shared" si="1081"/>
        <v>1300</v>
      </c>
      <c r="AC233" s="187">
        <f>AA233-Y233</f>
        <v>1300</v>
      </c>
      <c r="AD233" s="187"/>
      <c r="AE233" s="118">
        <v>1300</v>
      </c>
      <c r="AF233" s="182"/>
      <c r="AH233" s="15">
        <v>1300</v>
      </c>
      <c r="AI233" s="17">
        <f t="shared" si="1157"/>
        <v>1</v>
      </c>
      <c r="AK233" s="118">
        <v>0</v>
      </c>
      <c r="AS233" s="15">
        <f t="shared" si="1158"/>
        <v>0</v>
      </c>
      <c r="AV233" s="15">
        <f t="shared" si="1159"/>
        <v>0</v>
      </c>
      <c r="AX233" s="15"/>
      <c r="AY233" s="15">
        <f t="shared" si="1160"/>
        <v>0</v>
      </c>
      <c r="BB233" s="15">
        <f t="shared" si="1161"/>
        <v>0</v>
      </c>
      <c r="BD233" s="15"/>
      <c r="BE233" s="15">
        <f t="shared" si="1162"/>
        <v>0</v>
      </c>
      <c r="BG233" s="15"/>
      <c r="BH233" s="15">
        <f t="shared" si="1163"/>
        <v>0</v>
      </c>
      <c r="BJ233" s="15">
        <v>0</v>
      </c>
      <c r="BM233" s="15">
        <v>0</v>
      </c>
      <c r="BN233" s="235" t="e">
        <f t="shared" si="1046"/>
        <v>#DIV/0!</v>
      </c>
      <c r="BO233" s="235" t="e">
        <f t="shared" si="1047"/>
        <v>#DIV/0!</v>
      </c>
      <c r="BQ233" s="15"/>
      <c r="BR233" s="15">
        <f t="shared" si="1089"/>
        <v>0</v>
      </c>
      <c r="BT233" s="15"/>
      <c r="BU233" s="15">
        <f t="shared" si="1090"/>
        <v>0</v>
      </c>
      <c r="BW233" s="15"/>
      <c r="BX233" s="15">
        <f t="shared" si="1091"/>
        <v>0</v>
      </c>
      <c r="BZ233" s="15"/>
      <c r="CA233" s="15">
        <f t="shared" si="1092"/>
        <v>0</v>
      </c>
      <c r="CC233" s="15"/>
      <c r="CD233" s="15">
        <f t="shared" si="1093"/>
        <v>0</v>
      </c>
      <c r="CF233" s="15"/>
      <c r="CG233" s="15">
        <f t="shared" si="1094"/>
        <v>0</v>
      </c>
      <c r="CI233" s="15"/>
      <c r="CJ233" s="15">
        <f t="shared" si="1095"/>
        <v>0</v>
      </c>
      <c r="CM233" s="15">
        <f t="shared" si="1096"/>
        <v>0</v>
      </c>
      <c r="CP233" s="15">
        <f t="shared" si="1097"/>
        <v>0</v>
      </c>
      <c r="CS233" s="15">
        <f t="shared" si="1098"/>
        <v>0</v>
      </c>
      <c r="CV233" s="15">
        <f t="shared" si="1099"/>
        <v>0</v>
      </c>
      <c r="CY233" s="15">
        <f t="shared" si="1100"/>
        <v>0</v>
      </c>
      <c r="DE233" s="15"/>
      <c r="DF233" s="15">
        <f t="shared" si="1164"/>
        <v>0</v>
      </c>
      <c r="DH233" s="15"/>
      <c r="DI233" s="15">
        <f t="shared" si="1165"/>
        <v>0</v>
      </c>
      <c r="DK233" s="15"/>
      <c r="DL233" s="15">
        <f t="shared" si="1166"/>
        <v>0</v>
      </c>
      <c r="DN233" s="15"/>
      <c r="DO233" s="15">
        <f t="shared" si="1167"/>
        <v>0</v>
      </c>
      <c r="DQ233" s="15"/>
      <c r="DR233" s="15">
        <f t="shared" si="1168"/>
        <v>0</v>
      </c>
      <c r="DT233" s="15"/>
      <c r="DU233" s="15">
        <f t="shared" si="1169"/>
        <v>0</v>
      </c>
      <c r="DW233" s="15"/>
      <c r="DX233" s="15">
        <f t="shared" si="1170"/>
        <v>0</v>
      </c>
      <c r="DZ233" s="15"/>
      <c r="EA233" s="15">
        <f t="shared" si="1171"/>
        <v>0</v>
      </c>
      <c r="EC233" s="15"/>
      <c r="ED233" s="15">
        <f t="shared" si="1172"/>
        <v>0</v>
      </c>
      <c r="EF233" s="15"/>
      <c r="EG233" s="15">
        <f t="shared" si="1173"/>
        <v>0</v>
      </c>
      <c r="EK233" s="15"/>
      <c r="EM233" s="15"/>
      <c r="EN233" s="15">
        <f t="shared" si="1174"/>
        <v>0</v>
      </c>
      <c r="EP233" s="15"/>
      <c r="EQ233" s="15">
        <f t="shared" si="1175"/>
        <v>0</v>
      </c>
      <c r="ES233" s="15"/>
      <c r="ET233" s="15">
        <f t="shared" si="1176"/>
        <v>0</v>
      </c>
      <c r="EW233" s="15">
        <f t="shared" si="1177"/>
        <v>0</v>
      </c>
      <c r="EZ233" s="15">
        <f t="shared" si="1178"/>
        <v>0</v>
      </c>
      <c r="FC233" s="15">
        <f t="shared" si="1179"/>
        <v>0</v>
      </c>
      <c r="FF233" s="15">
        <f t="shared" si="1180"/>
        <v>0</v>
      </c>
      <c r="FI233" s="15">
        <f t="shared" si="1181"/>
        <v>0</v>
      </c>
      <c r="FL233" s="15">
        <f t="shared" si="1182"/>
        <v>0</v>
      </c>
      <c r="FO233" s="15">
        <f t="shared" si="1183"/>
        <v>0</v>
      </c>
      <c r="FR233" s="15">
        <v>0</v>
      </c>
      <c r="FW233" s="235" t="e">
        <f t="shared" si="1068"/>
        <v>#DIV/0!</v>
      </c>
      <c r="FZ233" s="15">
        <f t="shared" si="1184"/>
        <v>0</v>
      </c>
      <c r="GB233" s="15"/>
      <c r="GC233" s="15">
        <f t="shared" si="1185"/>
        <v>0</v>
      </c>
      <c r="GE233" s="15"/>
      <c r="GF233" s="15">
        <f t="shared" si="1186"/>
        <v>0</v>
      </c>
      <c r="GH233" s="15"/>
      <c r="GI233" s="15">
        <f t="shared" si="1187"/>
        <v>0</v>
      </c>
      <c r="GK233" s="15"/>
      <c r="GL233" s="15">
        <f t="shared" si="1188"/>
        <v>0</v>
      </c>
      <c r="GN233" s="15"/>
      <c r="GO233" s="15">
        <f t="shared" si="1189"/>
        <v>0</v>
      </c>
      <c r="GQ233" s="15"/>
      <c r="GR233" s="15">
        <f t="shared" si="1190"/>
        <v>0</v>
      </c>
      <c r="GT233" s="15"/>
      <c r="GU233" s="15">
        <f t="shared" si="1191"/>
        <v>0</v>
      </c>
      <c r="GW233" s="15"/>
      <c r="GX233" s="15">
        <f t="shared" si="1192"/>
        <v>0</v>
      </c>
      <c r="GZ233" s="15"/>
      <c r="HA233" s="189">
        <f t="shared" si="1193"/>
        <v>0</v>
      </c>
      <c r="HE233" s="15">
        <v>0</v>
      </c>
      <c r="HF233" s="235" t="e">
        <f t="shared" si="1079"/>
        <v>#DIV/0!</v>
      </c>
    </row>
    <row r="234" spans="1:214" outlineLevel="1">
      <c r="A234" s="1" t="s">
        <v>201</v>
      </c>
      <c r="B234" s="1" t="s">
        <v>611</v>
      </c>
      <c r="C234" s="4" t="s">
        <v>613</v>
      </c>
      <c r="D234" s="43"/>
      <c r="E234" s="34"/>
      <c r="F234" s="43"/>
      <c r="G234" s="34"/>
      <c r="H234" s="46"/>
      <c r="I234" s="36"/>
      <c r="J234" s="14"/>
      <c r="M234" s="17"/>
      <c r="N234" s="17"/>
      <c r="U234" s="16"/>
      <c r="Y234" s="118"/>
      <c r="AB234" s="185"/>
      <c r="AC234" s="187"/>
      <c r="AD234" s="187"/>
      <c r="AF234" s="182"/>
      <c r="AH234" s="15"/>
      <c r="AI234" s="17"/>
      <c r="AS234" s="15"/>
      <c r="AV234" s="15"/>
      <c r="AX234" s="15"/>
      <c r="AY234" s="15"/>
      <c r="BB234" s="15"/>
      <c r="BD234" s="15"/>
      <c r="BE234" s="15"/>
      <c r="BG234" s="15"/>
      <c r="BH234" s="15"/>
      <c r="BM234" s="15"/>
      <c r="BN234" s="235"/>
      <c r="BO234" s="235"/>
      <c r="BQ234" s="15"/>
      <c r="BR234" s="15"/>
      <c r="BT234" s="15"/>
      <c r="BU234" s="15"/>
      <c r="BW234" s="15"/>
      <c r="BX234" s="15"/>
      <c r="BZ234" s="15"/>
      <c r="CA234" s="15"/>
      <c r="CC234" s="15"/>
      <c r="CD234" s="15"/>
      <c r="CF234" s="15"/>
      <c r="CG234" s="15"/>
      <c r="CI234" s="15"/>
      <c r="CJ234" s="15"/>
      <c r="CM234" s="15"/>
      <c r="CP234" s="15"/>
      <c r="CS234" s="15"/>
      <c r="CV234" s="15"/>
      <c r="CY234" s="15"/>
      <c r="DE234" s="15"/>
      <c r="DF234" s="15"/>
      <c r="DH234" s="15"/>
      <c r="DI234" s="15"/>
      <c r="DK234" s="227">
        <v>249450</v>
      </c>
      <c r="DL234" s="15">
        <f t="shared" si="1166"/>
        <v>249450</v>
      </c>
      <c r="DN234" s="15"/>
      <c r="DO234" s="15">
        <f t="shared" si="1167"/>
        <v>249450</v>
      </c>
      <c r="DQ234" s="15"/>
      <c r="DR234" s="15">
        <f t="shared" si="1168"/>
        <v>249450</v>
      </c>
      <c r="DT234" s="15"/>
      <c r="DU234" s="15">
        <f t="shared" si="1169"/>
        <v>249450</v>
      </c>
      <c r="DW234" s="15"/>
      <c r="DX234" s="15">
        <f t="shared" si="1170"/>
        <v>249450</v>
      </c>
      <c r="DZ234" s="15"/>
      <c r="EA234" s="15">
        <f t="shared" si="1171"/>
        <v>249450</v>
      </c>
      <c r="EC234" s="15"/>
      <c r="ED234" s="15">
        <f t="shared" si="1172"/>
        <v>249450</v>
      </c>
      <c r="EF234" s="15"/>
      <c r="EG234" s="15">
        <f t="shared" si="1173"/>
        <v>249450</v>
      </c>
      <c r="EI234" s="15">
        <v>249450</v>
      </c>
      <c r="EK234" s="15">
        <v>0</v>
      </c>
      <c r="EM234" s="15"/>
      <c r="EN234" s="15">
        <f t="shared" si="1174"/>
        <v>0</v>
      </c>
      <c r="EP234" s="15"/>
      <c r="EQ234" s="15">
        <f t="shared" si="1175"/>
        <v>0</v>
      </c>
      <c r="ES234" s="15"/>
      <c r="ET234" s="15">
        <f t="shared" si="1176"/>
        <v>0</v>
      </c>
      <c r="EW234" s="15">
        <f t="shared" si="1177"/>
        <v>0</v>
      </c>
      <c r="EZ234" s="15">
        <f t="shared" si="1178"/>
        <v>0</v>
      </c>
      <c r="FC234" s="15">
        <f t="shared" si="1179"/>
        <v>0</v>
      </c>
      <c r="FF234" s="15">
        <f t="shared" si="1180"/>
        <v>0</v>
      </c>
      <c r="FI234" s="15">
        <f t="shared" si="1181"/>
        <v>0</v>
      </c>
      <c r="FL234" s="15">
        <f t="shared" si="1182"/>
        <v>0</v>
      </c>
      <c r="FO234" s="15">
        <f t="shared" si="1183"/>
        <v>0</v>
      </c>
      <c r="FR234" s="15">
        <v>0</v>
      </c>
      <c r="FW234" s="235" t="e">
        <f t="shared" si="1068"/>
        <v>#DIV/0!</v>
      </c>
      <c r="FZ234" s="15">
        <f t="shared" si="1184"/>
        <v>0</v>
      </c>
      <c r="GB234" s="15"/>
      <c r="GC234" s="15">
        <f t="shared" si="1185"/>
        <v>0</v>
      </c>
      <c r="GE234" s="15"/>
      <c r="GF234" s="15">
        <f t="shared" si="1186"/>
        <v>0</v>
      </c>
      <c r="GH234" s="15"/>
      <c r="GI234" s="15">
        <f t="shared" si="1187"/>
        <v>0</v>
      </c>
      <c r="GK234" s="15"/>
      <c r="GL234" s="15">
        <f t="shared" si="1188"/>
        <v>0</v>
      </c>
      <c r="GN234" s="15"/>
      <c r="GO234" s="15">
        <f t="shared" si="1189"/>
        <v>0</v>
      </c>
      <c r="GQ234" s="15"/>
      <c r="GR234" s="15">
        <f t="shared" si="1190"/>
        <v>0</v>
      </c>
      <c r="GT234" s="15"/>
      <c r="GU234" s="15">
        <f t="shared" si="1191"/>
        <v>0</v>
      </c>
      <c r="GW234" s="15"/>
      <c r="GX234" s="15">
        <f t="shared" si="1192"/>
        <v>0</v>
      </c>
      <c r="GZ234" s="15"/>
      <c r="HA234" s="189">
        <f t="shared" si="1193"/>
        <v>0</v>
      </c>
      <c r="HE234" s="15">
        <v>0</v>
      </c>
      <c r="HF234" s="235" t="e">
        <f t="shared" si="1079"/>
        <v>#DIV/0!</v>
      </c>
    </row>
    <row r="235" spans="1:214" outlineLevel="1">
      <c r="A235" s="1" t="s">
        <v>201</v>
      </c>
      <c r="B235" s="1" t="s">
        <v>208</v>
      </c>
      <c r="C235" s="4" t="s">
        <v>209</v>
      </c>
      <c r="D235" s="43">
        <v>0</v>
      </c>
      <c r="E235" s="34">
        <v>0</v>
      </c>
      <c r="F235" s="43">
        <v>270400</v>
      </c>
      <c r="G235" s="34">
        <v>100</v>
      </c>
      <c r="H235" s="46">
        <v>270398.71000000002</v>
      </c>
      <c r="I235" s="36">
        <f>H235</f>
        <v>270398.71000000002</v>
      </c>
      <c r="J235" s="14"/>
      <c r="L235" s="118">
        <f>'[2]2020'!$Q$20</f>
        <v>10000</v>
      </c>
      <c r="M235" s="17">
        <f t="shared" si="960"/>
        <v>-0.96301775147928992</v>
      </c>
      <c r="N235" s="17">
        <f t="shared" si="961"/>
        <v>-0.96301757504686325</v>
      </c>
      <c r="Q235" s="118">
        <v>10000</v>
      </c>
      <c r="R235" s="15">
        <v>0</v>
      </c>
      <c r="S235" s="118">
        <v>0</v>
      </c>
      <c r="T235" s="15">
        <f t="shared" si="1080"/>
        <v>-10000</v>
      </c>
      <c r="U235" s="16">
        <f t="shared" si="1003"/>
        <v>-1</v>
      </c>
      <c r="Y235" s="118">
        <v>0</v>
      </c>
      <c r="AA235" s="118">
        <v>0</v>
      </c>
      <c r="AB235" s="185">
        <f t="shared" si="1081"/>
        <v>0</v>
      </c>
      <c r="AC235" s="187">
        <f>AA235-Y235</f>
        <v>0</v>
      </c>
      <c r="AD235" s="187"/>
      <c r="AE235" s="118">
        <v>0</v>
      </c>
      <c r="AF235" s="182"/>
      <c r="AH235" s="15">
        <v>0</v>
      </c>
      <c r="AK235" s="118">
        <v>0</v>
      </c>
      <c r="AS235" s="15">
        <f t="shared" si="1158"/>
        <v>0</v>
      </c>
      <c r="AV235" s="15">
        <f t="shared" si="1159"/>
        <v>0</v>
      </c>
      <c r="AX235" s="15"/>
      <c r="AY235" s="15">
        <f t="shared" si="1160"/>
        <v>0</v>
      </c>
      <c r="BB235" s="15">
        <f t="shared" si="1161"/>
        <v>0</v>
      </c>
      <c r="BD235" s="15"/>
      <c r="BE235" s="15">
        <f t="shared" si="1162"/>
        <v>0</v>
      </c>
      <c r="BG235" s="15"/>
      <c r="BH235" s="15">
        <f t="shared" si="1163"/>
        <v>0</v>
      </c>
      <c r="BJ235" s="15">
        <v>0</v>
      </c>
      <c r="BM235" s="15">
        <v>0</v>
      </c>
      <c r="BN235" s="235" t="e">
        <f t="shared" si="1046"/>
        <v>#DIV/0!</v>
      </c>
      <c r="BO235" s="235" t="e">
        <f t="shared" si="1047"/>
        <v>#DIV/0!</v>
      </c>
      <c r="BQ235" s="15"/>
      <c r="BR235" s="15">
        <f t="shared" si="1089"/>
        <v>0</v>
      </c>
      <c r="BT235" s="15"/>
      <c r="BU235" s="15">
        <f t="shared" si="1090"/>
        <v>0</v>
      </c>
      <c r="BW235" s="15"/>
      <c r="BX235" s="15">
        <f t="shared" si="1091"/>
        <v>0</v>
      </c>
      <c r="BZ235" s="15"/>
      <c r="CA235" s="15">
        <f t="shared" si="1092"/>
        <v>0</v>
      </c>
      <c r="CC235" s="15"/>
      <c r="CD235" s="15">
        <f t="shared" si="1093"/>
        <v>0</v>
      </c>
      <c r="CF235" s="15"/>
      <c r="CG235" s="15">
        <f t="shared" si="1094"/>
        <v>0</v>
      </c>
      <c r="CI235" s="15"/>
      <c r="CJ235" s="15">
        <f t="shared" si="1095"/>
        <v>0</v>
      </c>
      <c r="CM235" s="15">
        <f t="shared" si="1096"/>
        <v>0</v>
      </c>
      <c r="CP235" s="15">
        <f t="shared" si="1097"/>
        <v>0</v>
      </c>
      <c r="CS235" s="15">
        <f t="shared" si="1098"/>
        <v>0</v>
      </c>
      <c r="CV235" s="15">
        <f t="shared" si="1099"/>
        <v>0</v>
      </c>
      <c r="CY235" s="15">
        <f t="shared" si="1100"/>
        <v>0</v>
      </c>
      <c r="DE235" s="15"/>
      <c r="DF235" s="15">
        <f t="shared" si="1164"/>
        <v>0</v>
      </c>
      <c r="DH235" s="15"/>
      <c r="DI235" s="15">
        <f t="shared" si="1165"/>
        <v>0</v>
      </c>
      <c r="DK235" s="15"/>
      <c r="DL235" s="15">
        <f t="shared" si="1166"/>
        <v>0</v>
      </c>
      <c r="DN235" s="15"/>
      <c r="DO235" s="15">
        <f t="shared" si="1167"/>
        <v>0</v>
      </c>
      <c r="DQ235" s="15"/>
      <c r="DR235" s="15">
        <f t="shared" si="1168"/>
        <v>0</v>
      </c>
      <c r="DT235" s="15"/>
      <c r="DU235" s="15">
        <f t="shared" si="1169"/>
        <v>0</v>
      </c>
      <c r="DW235" s="15"/>
      <c r="DX235" s="15">
        <f t="shared" si="1170"/>
        <v>0</v>
      </c>
      <c r="DZ235" s="15"/>
      <c r="EA235" s="15">
        <f t="shared" si="1171"/>
        <v>0</v>
      </c>
      <c r="EC235" s="15"/>
      <c r="ED235" s="15">
        <f t="shared" si="1172"/>
        <v>0</v>
      </c>
      <c r="EF235" s="15"/>
      <c r="EG235" s="15">
        <f t="shared" si="1173"/>
        <v>0</v>
      </c>
      <c r="EK235" s="15"/>
      <c r="EM235" s="15"/>
      <c r="EN235" s="15">
        <f t="shared" si="1174"/>
        <v>0</v>
      </c>
      <c r="EP235" s="15"/>
      <c r="EQ235" s="15">
        <f t="shared" si="1175"/>
        <v>0</v>
      </c>
      <c r="ES235" s="15"/>
      <c r="ET235" s="15">
        <f t="shared" si="1176"/>
        <v>0</v>
      </c>
      <c r="EW235" s="15">
        <f t="shared" si="1177"/>
        <v>0</v>
      </c>
      <c r="EZ235" s="15">
        <f t="shared" si="1178"/>
        <v>0</v>
      </c>
      <c r="FC235" s="15">
        <f t="shared" si="1179"/>
        <v>0</v>
      </c>
      <c r="FF235" s="15">
        <f t="shared" si="1180"/>
        <v>0</v>
      </c>
      <c r="FI235" s="15">
        <f t="shared" si="1181"/>
        <v>0</v>
      </c>
      <c r="FL235" s="15">
        <f t="shared" si="1182"/>
        <v>0</v>
      </c>
      <c r="FO235" s="15">
        <f t="shared" si="1183"/>
        <v>0</v>
      </c>
      <c r="FR235" s="15">
        <v>0</v>
      </c>
      <c r="FW235" s="235" t="e">
        <f t="shared" si="1068"/>
        <v>#DIV/0!</v>
      </c>
      <c r="FZ235" s="15">
        <f t="shared" si="1184"/>
        <v>0</v>
      </c>
      <c r="GB235" s="15"/>
      <c r="GC235" s="15">
        <f t="shared" si="1185"/>
        <v>0</v>
      </c>
      <c r="GE235" s="15"/>
      <c r="GF235" s="15">
        <f t="shared" si="1186"/>
        <v>0</v>
      </c>
      <c r="GH235" s="15"/>
      <c r="GI235" s="15">
        <f t="shared" si="1187"/>
        <v>0</v>
      </c>
      <c r="GK235" s="15"/>
      <c r="GL235" s="15">
        <f t="shared" si="1188"/>
        <v>0</v>
      </c>
      <c r="GN235" s="15"/>
      <c r="GO235" s="15">
        <f t="shared" si="1189"/>
        <v>0</v>
      </c>
      <c r="GQ235" s="15"/>
      <c r="GR235" s="15">
        <f t="shared" si="1190"/>
        <v>0</v>
      </c>
      <c r="GT235" s="15"/>
      <c r="GU235" s="15">
        <f t="shared" si="1191"/>
        <v>0</v>
      </c>
      <c r="GW235" s="15"/>
      <c r="GX235" s="15">
        <f t="shared" si="1192"/>
        <v>0</v>
      </c>
      <c r="GZ235" s="15"/>
      <c r="HA235" s="189">
        <f t="shared" si="1193"/>
        <v>0</v>
      </c>
      <c r="HE235" s="15">
        <v>0</v>
      </c>
      <c r="HF235" s="235" t="e">
        <f t="shared" si="1079"/>
        <v>#DIV/0!</v>
      </c>
    </row>
    <row r="236" spans="1:214" outlineLevel="1">
      <c r="A236" s="1" t="s">
        <v>201</v>
      </c>
      <c r="B236" s="1" t="s">
        <v>199</v>
      </c>
      <c r="C236" s="4" t="s">
        <v>200</v>
      </c>
      <c r="D236" s="43"/>
      <c r="E236" s="34"/>
      <c r="F236" s="43"/>
      <c r="G236" s="34"/>
      <c r="H236" s="46"/>
      <c r="I236" s="36"/>
      <c r="J236" s="14"/>
      <c r="M236" s="17"/>
      <c r="N236" s="17"/>
      <c r="U236" s="16"/>
      <c r="Y236" s="118"/>
      <c r="AB236" s="185"/>
      <c r="AC236" s="187"/>
      <c r="AD236" s="187"/>
      <c r="AF236" s="182"/>
      <c r="AH236" s="15"/>
      <c r="AS236" s="15"/>
      <c r="AV236" s="15"/>
      <c r="AX236" s="15"/>
      <c r="AY236" s="15"/>
      <c r="BB236" s="15"/>
      <c r="BD236" s="15"/>
      <c r="BE236" s="15"/>
      <c r="BG236" s="15"/>
      <c r="BH236" s="15"/>
      <c r="BM236" s="15"/>
      <c r="BN236" s="235"/>
      <c r="BO236" s="235"/>
      <c r="BQ236" s="15"/>
      <c r="BR236" s="15"/>
      <c r="BT236" s="15"/>
      <c r="BU236" s="15"/>
      <c r="BW236" s="15"/>
      <c r="BX236" s="15"/>
      <c r="BZ236" s="15"/>
      <c r="CA236" s="15"/>
      <c r="CC236" s="15"/>
      <c r="CD236" s="15"/>
      <c r="CF236" s="15"/>
      <c r="CG236" s="15"/>
      <c r="CI236" s="15"/>
      <c r="CJ236" s="15"/>
      <c r="CM236" s="15"/>
      <c r="CP236" s="15"/>
      <c r="CS236" s="15"/>
      <c r="CV236" s="15"/>
      <c r="CY236" s="15"/>
      <c r="DE236" s="15"/>
      <c r="DF236" s="15"/>
      <c r="DH236" s="15"/>
      <c r="DI236" s="15"/>
      <c r="DK236" s="15"/>
      <c r="DL236" s="15"/>
      <c r="DN236" s="15"/>
      <c r="DO236" s="15"/>
      <c r="DQ236" s="15"/>
      <c r="DR236" s="15"/>
      <c r="DT236" s="15"/>
      <c r="DU236" s="15"/>
      <c r="DW236" s="15"/>
      <c r="DX236" s="15"/>
      <c r="DZ236" s="15"/>
      <c r="EA236" s="15"/>
      <c r="EC236" s="15"/>
      <c r="ED236" s="15"/>
      <c r="EF236" s="15"/>
      <c r="EG236" s="15"/>
      <c r="EK236" s="15"/>
      <c r="EM236" s="15"/>
      <c r="EN236" s="15"/>
      <c r="EP236" s="15"/>
      <c r="EQ236" s="15"/>
      <c r="ES236" s="15"/>
      <c r="ET236" s="15"/>
      <c r="EW236" s="15"/>
      <c r="EZ236" s="15"/>
      <c r="FC236" s="15"/>
      <c r="FF236" s="15"/>
      <c r="FI236" s="15"/>
      <c r="FL236" s="15"/>
      <c r="FO236" s="15"/>
      <c r="FR236" s="15"/>
      <c r="FV236" s="227">
        <v>50000</v>
      </c>
      <c r="FW236" s="235"/>
      <c r="FY236" s="227">
        <v>-7300</v>
      </c>
      <c r="FZ236" s="15">
        <f t="shared" si="1184"/>
        <v>42700</v>
      </c>
      <c r="GB236" s="15"/>
      <c r="GC236" s="15">
        <f t="shared" si="1185"/>
        <v>42700</v>
      </c>
      <c r="GE236" s="227">
        <v>7300</v>
      </c>
      <c r="GF236" s="15">
        <f t="shared" si="1186"/>
        <v>50000</v>
      </c>
      <c r="GH236" s="15"/>
      <c r="GI236" s="15">
        <f t="shared" si="1187"/>
        <v>50000</v>
      </c>
      <c r="GK236" s="15"/>
      <c r="GL236" s="15">
        <f t="shared" si="1188"/>
        <v>50000</v>
      </c>
      <c r="GN236" s="15"/>
      <c r="GO236" s="15">
        <f t="shared" si="1189"/>
        <v>50000</v>
      </c>
      <c r="GQ236" s="227">
        <v>4650</v>
      </c>
      <c r="GR236" s="15">
        <f t="shared" si="1190"/>
        <v>54650</v>
      </c>
      <c r="GT236" s="15"/>
      <c r="GU236" s="15">
        <f t="shared" si="1191"/>
        <v>54650</v>
      </c>
      <c r="GW236" s="15"/>
      <c r="GX236" s="15">
        <f t="shared" si="1192"/>
        <v>54650</v>
      </c>
      <c r="GZ236" s="15"/>
      <c r="HA236" s="189">
        <f t="shared" si="1193"/>
        <v>54650</v>
      </c>
      <c r="HC236" s="189">
        <v>54650</v>
      </c>
      <c r="HE236" s="15">
        <v>40000</v>
      </c>
      <c r="HF236" s="235"/>
    </row>
    <row r="237" spans="1:214" outlineLevel="1">
      <c r="A237" s="1" t="s">
        <v>201</v>
      </c>
      <c r="B237" s="1" t="s">
        <v>210</v>
      </c>
      <c r="C237" s="4" t="s">
        <v>211</v>
      </c>
      <c r="D237" s="43">
        <v>900000</v>
      </c>
      <c r="E237" s="34">
        <v>0</v>
      </c>
      <c r="F237" s="43">
        <v>0</v>
      </c>
      <c r="G237" s="34">
        <v>0</v>
      </c>
      <c r="H237" s="46">
        <v>0</v>
      </c>
      <c r="I237" s="36">
        <f>H237</f>
        <v>0</v>
      </c>
      <c r="J237" s="14"/>
      <c r="L237" s="118">
        <v>650000</v>
      </c>
      <c r="M237" s="17" t="e">
        <f t="shared" si="960"/>
        <v>#DIV/0!</v>
      </c>
      <c r="N237" s="17" t="e">
        <f t="shared" si="961"/>
        <v>#DIV/0!</v>
      </c>
      <c r="Q237" s="118">
        <v>1006000</v>
      </c>
      <c r="R237" s="15">
        <v>0</v>
      </c>
      <c r="S237" s="118">
        <v>906000</v>
      </c>
      <c r="T237" s="15">
        <f t="shared" si="1080"/>
        <v>-100000</v>
      </c>
      <c r="U237" s="16">
        <f t="shared" si="1003"/>
        <v>-9.9403578528827086E-2</v>
      </c>
      <c r="Y237" s="118">
        <v>906000</v>
      </c>
      <c r="AA237" s="118">
        <v>905010</v>
      </c>
      <c r="AB237" s="185">
        <f t="shared" si="1081"/>
        <v>-990</v>
      </c>
      <c r="AC237" s="187">
        <f>AA237-Y237</f>
        <v>-990</v>
      </c>
      <c r="AD237" s="187"/>
      <c r="AE237" s="118">
        <v>905010</v>
      </c>
      <c r="AF237" s="182"/>
      <c r="AH237" s="15">
        <v>905007.4</v>
      </c>
      <c r="AI237" s="17">
        <f t="shared" ref="AI237" si="1194">AH237/AE237</f>
        <v>0.99999712710356792</v>
      </c>
      <c r="AK237" s="118">
        <v>0</v>
      </c>
      <c r="AS237" s="15">
        <f t="shared" si="1158"/>
        <v>0</v>
      </c>
      <c r="AV237" s="15">
        <f t="shared" si="1159"/>
        <v>0</v>
      </c>
      <c r="AX237" s="15"/>
      <c r="AY237" s="15">
        <f t="shared" si="1160"/>
        <v>0</v>
      </c>
      <c r="BB237" s="15">
        <f t="shared" si="1161"/>
        <v>0</v>
      </c>
      <c r="BD237" s="15"/>
      <c r="BE237" s="15">
        <f t="shared" si="1162"/>
        <v>0</v>
      </c>
      <c r="BG237" s="15"/>
      <c r="BH237" s="15">
        <f t="shared" si="1163"/>
        <v>0</v>
      </c>
      <c r="BJ237" s="15">
        <v>0</v>
      </c>
      <c r="BM237" s="15">
        <v>0</v>
      </c>
      <c r="BN237" s="235" t="e">
        <f t="shared" si="1046"/>
        <v>#DIV/0!</v>
      </c>
      <c r="BO237" s="235" t="e">
        <f t="shared" si="1047"/>
        <v>#DIV/0!</v>
      </c>
      <c r="BQ237" s="15"/>
      <c r="BR237" s="15">
        <f t="shared" si="1089"/>
        <v>0</v>
      </c>
      <c r="BT237" s="15"/>
      <c r="BU237" s="15">
        <f t="shared" si="1090"/>
        <v>0</v>
      </c>
      <c r="BW237" s="15"/>
      <c r="BX237" s="15">
        <f t="shared" si="1091"/>
        <v>0</v>
      </c>
      <c r="BZ237" s="15"/>
      <c r="CA237" s="15">
        <f t="shared" si="1092"/>
        <v>0</v>
      </c>
      <c r="CC237" s="15"/>
      <c r="CD237" s="15">
        <f t="shared" si="1093"/>
        <v>0</v>
      </c>
      <c r="CF237" s="15"/>
      <c r="CG237" s="15">
        <f t="shared" si="1094"/>
        <v>0</v>
      </c>
      <c r="CI237" s="15"/>
      <c r="CJ237" s="15">
        <f t="shared" si="1095"/>
        <v>0</v>
      </c>
      <c r="CM237" s="15">
        <f t="shared" si="1096"/>
        <v>0</v>
      </c>
      <c r="CP237" s="15">
        <f t="shared" si="1097"/>
        <v>0</v>
      </c>
      <c r="CS237" s="15">
        <f t="shared" si="1098"/>
        <v>0</v>
      </c>
      <c r="CV237" s="15">
        <f t="shared" si="1099"/>
        <v>0</v>
      </c>
      <c r="CY237" s="15">
        <f t="shared" si="1100"/>
        <v>0</v>
      </c>
      <c r="DE237" s="15"/>
      <c r="DF237" s="15">
        <f t="shared" si="1164"/>
        <v>0</v>
      </c>
      <c r="DH237" s="15"/>
      <c r="DI237" s="15">
        <f t="shared" si="1165"/>
        <v>0</v>
      </c>
      <c r="DK237" s="15"/>
      <c r="DL237" s="15">
        <f t="shared" si="1166"/>
        <v>0</v>
      </c>
      <c r="DN237" s="15"/>
      <c r="DO237" s="15">
        <f t="shared" si="1167"/>
        <v>0</v>
      </c>
      <c r="DQ237" s="15"/>
      <c r="DR237" s="15">
        <f t="shared" si="1168"/>
        <v>0</v>
      </c>
      <c r="DT237" s="15"/>
      <c r="DU237" s="15">
        <f t="shared" si="1169"/>
        <v>0</v>
      </c>
      <c r="DW237" s="15"/>
      <c r="DX237" s="15">
        <f t="shared" si="1170"/>
        <v>0</v>
      </c>
      <c r="DZ237" s="15"/>
      <c r="EA237" s="15">
        <f t="shared" si="1171"/>
        <v>0</v>
      </c>
      <c r="EC237" s="15"/>
      <c r="ED237" s="15">
        <f t="shared" si="1172"/>
        <v>0</v>
      </c>
      <c r="EF237" s="15"/>
      <c r="EG237" s="15">
        <f t="shared" si="1173"/>
        <v>0</v>
      </c>
      <c r="EK237" s="15"/>
      <c r="EM237" s="15"/>
      <c r="EN237" s="15">
        <f t="shared" si="1174"/>
        <v>0</v>
      </c>
      <c r="EP237" s="15"/>
      <c r="EQ237" s="15">
        <f t="shared" si="1175"/>
        <v>0</v>
      </c>
      <c r="ES237" s="15"/>
      <c r="ET237" s="15">
        <f t="shared" si="1176"/>
        <v>0</v>
      </c>
      <c r="EW237" s="15">
        <f t="shared" si="1177"/>
        <v>0</v>
      </c>
      <c r="EZ237" s="15">
        <f t="shared" si="1178"/>
        <v>0</v>
      </c>
      <c r="FC237" s="15">
        <f t="shared" si="1179"/>
        <v>0</v>
      </c>
      <c r="FF237" s="15">
        <f t="shared" si="1180"/>
        <v>0</v>
      </c>
      <c r="FI237" s="15">
        <f t="shared" si="1181"/>
        <v>0</v>
      </c>
      <c r="FL237" s="15">
        <f t="shared" si="1182"/>
        <v>0</v>
      </c>
      <c r="FO237" s="15">
        <f t="shared" si="1183"/>
        <v>0</v>
      </c>
      <c r="FR237" s="15">
        <v>0</v>
      </c>
      <c r="FW237" s="235" t="e">
        <f t="shared" si="1068"/>
        <v>#DIV/0!</v>
      </c>
      <c r="FZ237" s="15">
        <f t="shared" si="1184"/>
        <v>0</v>
      </c>
      <c r="GB237" s="15"/>
      <c r="GC237" s="15">
        <f t="shared" si="1185"/>
        <v>0</v>
      </c>
      <c r="GE237" s="15"/>
      <c r="GF237" s="15">
        <f t="shared" si="1186"/>
        <v>0</v>
      </c>
      <c r="GH237" s="15"/>
      <c r="GI237" s="15">
        <f t="shared" si="1187"/>
        <v>0</v>
      </c>
      <c r="GK237" s="15"/>
      <c r="GL237" s="15">
        <f t="shared" si="1188"/>
        <v>0</v>
      </c>
      <c r="GN237" s="15"/>
      <c r="GO237" s="15">
        <f t="shared" si="1189"/>
        <v>0</v>
      </c>
      <c r="GQ237" s="15"/>
      <c r="GR237" s="15">
        <f t="shared" si="1190"/>
        <v>0</v>
      </c>
      <c r="GT237" s="15"/>
      <c r="GU237" s="15">
        <f t="shared" si="1191"/>
        <v>0</v>
      </c>
      <c r="GW237" s="15"/>
      <c r="GX237" s="15">
        <f t="shared" si="1192"/>
        <v>0</v>
      </c>
      <c r="GZ237" s="15"/>
      <c r="HA237" s="189">
        <f t="shared" si="1193"/>
        <v>0</v>
      </c>
      <c r="HE237" s="15">
        <v>0</v>
      </c>
      <c r="HF237" s="235" t="e">
        <f t="shared" ref="HF237:HF245" si="1195">HE237/HC237</f>
        <v>#DIV/0!</v>
      </c>
    </row>
    <row r="238" spans="1:214" outlineLevel="1">
      <c r="A238" s="1" t="s">
        <v>201</v>
      </c>
      <c r="B238" s="4" t="s">
        <v>46</v>
      </c>
      <c r="C238" s="4" t="s">
        <v>212</v>
      </c>
      <c r="D238" s="43">
        <v>1197000</v>
      </c>
      <c r="E238" s="34">
        <v>30.6</v>
      </c>
      <c r="F238" s="43">
        <v>462000</v>
      </c>
      <c r="G238" s="34">
        <v>79.290000000000006</v>
      </c>
      <c r="H238" s="46">
        <v>366300.21</v>
      </c>
      <c r="I238" s="36"/>
      <c r="J238" s="14"/>
      <c r="Y238" s="118"/>
      <c r="AF238" s="182"/>
      <c r="AH238" s="15"/>
      <c r="AX238" s="15"/>
      <c r="BD238" s="15"/>
      <c r="BG238" s="15"/>
      <c r="DE238" s="15"/>
      <c r="DH238" s="15"/>
      <c r="DK238" s="15"/>
      <c r="DN238" s="15"/>
      <c r="DQ238" s="15"/>
      <c r="DT238" s="15"/>
      <c r="DW238" s="15"/>
      <c r="DZ238" s="15"/>
      <c r="EC238" s="15"/>
      <c r="EF238" s="15"/>
      <c r="EK238" s="15"/>
      <c r="EM238" s="15"/>
      <c r="EP238" s="15"/>
      <c r="ES238" s="15"/>
      <c r="FW238" s="235" t="e">
        <f t="shared" si="1068"/>
        <v>#DIV/0!</v>
      </c>
      <c r="GB238" s="15"/>
      <c r="GE238" s="15"/>
      <c r="GH238" s="15"/>
      <c r="GK238" s="15"/>
      <c r="GN238" s="15"/>
      <c r="GQ238" s="15"/>
      <c r="GT238" s="15"/>
      <c r="GW238" s="15"/>
      <c r="GZ238" s="15"/>
      <c r="HF238" s="235" t="e">
        <f t="shared" si="1195"/>
        <v>#DIV/0!</v>
      </c>
    </row>
    <row r="239" spans="1:214" outlineLevel="1">
      <c r="A239" s="1" t="s">
        <v>213</v>
      </c>
      <c r="B239" s="4" t="s">
        <v>48</v>
      </c>
      <c r="C239" s="4" t="s">
        <v>214</v>
      </c>
      <c r="D239" s="43">
        <v>1197000</v>
      </c>
      <c r="E239" s="34">
        <v>30.6</v>
      </c>
      <c r="F239" s="43">
        <v>462000</v>
      </c>
      <c r="G239" s="34">
        <v>79.290000000000006</v>
      </c>
      <c r="H239" s="46">
        <v>366300.21</v>
      </c>
      <c r="I239" s="36"/>
      <c r="J239" s="14"/>
      <c r="Y239" s="118"/>
      <c r="AF239" s="182"/>
      <c r="AH239" s="15"/>
      <c r="AX239" s="15"/>
      <c r="BD239" s="15"/>
      <c r="BG239" s="15"/>
      <c r="DE239" s="15"/>
      <c r="DH239" s="15"/>
      <c r="DK239" s="15"/>
      <c r="DN239" s="15"/>
      <c r="DQ239" s="15"/>
      <c r="DT239" s="15"/>
      <c r="DW239" s="15"/>
      <c r="DZ239" s="15"/>
      <c r="EC239" s="15"/>
      <c r="EF239" s="15"/>
      <c r="EK239" s="15"/>
      <c r="EM239" s="15"/>
      <c r="EP239" s="15"/>
      <c r="ES239" s="15"/>
      <c r="FW239" s="235" t="e">
        <f t="shared" si="1068"/>
        <v>#DIV/0!</v>
      </c>
      <c r="GB239" s="15"/>
      <c r="GE239" s="15"/>
      <c r="GH239" s="15"/>
      <c r="GK239" s="15"/>
      <c r="GN239" s="15"/>
      <c r="GQ239" s="15"/>
      <c r="GT239" s="15"/>
      <c r="GW239" s="15"/>
      <c r="GZ239" s="15"/>
      <c r="HF239" s="235" t="e">
        <f t="shared" si="1195"/>
        <v>#DIV/0!</v>
      </c>
    </row>
    <row r="240" spans="1:214" ht="16.5" customHeight="1" thickBot="1">
      <c r="A240" s="54" t="s">
        <v>201</v>
      </c>
      <c r="B240" s="55" t="s">
        <v>316</v>
      </c>
      <c r="C240" s="283" t="s">
        <v>212</v>
      </c>
      <c r="D240" s="57">
        <f>SUM(D217:D232)</f>
        <v>297000</v>
      </c>
      <c r="E240" s="58"/>
      <c r="F240" s="57">
        <f>SUM(F217:F232)</f>
        <v>191600</v>
      </c>
      <c r="G240" s="58"/>
      <c r="H240" s="57"/>
      <c r="I240" s="57">
        <f>SUM(I217:I232)</f>
        <v>102486.5</v>
      </c>
      <c r="J240" s="138" t="e">
        <f>I240/$I$350</f>
        <v>#REF!</v>
      </c>
      <c r="K240" s="60"/>
      <c r="L240" s="122">
        <f>SUM(L217:L232)</f>
        <v>99500</v>
      </c>
      <c r="M240" s="61">
        <f t="shared" ref="M240:M245" si="1196">L240/F240-1</f>
        <v>-0.4806889352818372</v>
      </c>
      <c r="N240" s="61">
        <f t="shared" ref="N240:N245" si="1197">L240/I240-1</f>
        <v>-2.9140423372834512E-2</v>
      </c>
      <c r="O240" s="17">
        <f>L240/$L$350</f>
        <v>2.3085847296257025E-2</v>
      </c>
      <c r="P240" s="17"/>
      <c r="Q240" s="122">
        <f>SUM(Q217:Q232)</f>
        <v>110000</v>
      </c>
      <c r="R240" s="122">
        <f>SUM(R217:R232)</f>
        <v>41341</v>
      </c>
      <c r="S240" s="122">
        <f>SUM(S217:S232)</f>
        <v>87200</v>
      </c>
      <c r="T240" s="122">
        <f>SUM(T217:T232)</f>
        <v>-22800</v>
      </c>
      <c r="U240" s="155">
        <f t="shared" ref="U240:U245" si="1198">S240/Q240-1</f>
        <v>-0.20727272727272728</v>
      </c>
      <c r="Y240" s="122">
        <f>SUM(Y217:Y232)</f>
        <v>99000</v>
      </c>
      <c r="AA240" s="122">
        <f>SUM(AA217:AA233)</f>
        <v>83050</v>
      </c>
      <c r="AB240" s="122">
        <f>SUM(AB217:AB233)</f>
        <v>-15950</v>
      </c>
      <c r="AE240" s="122">
        <f>SUM(AE217:AE233)</f>
        <v>84050</v>
      </c>
      <c r="AF240" s="182"/>
      <c r="AH240" s="122">
        <f>SUM(AH217:AH233)</f>
        <v>77440.709999999992</v>
      </c>
      <c r="AI240" s="17">
        <f t="shared" ref="AI240:AI245" si="1199">AH240/AE240</f>
        <v>0.9213647828673408</v>
      </c>
      <c r="AK240" s="122">
        <f>SUM(AK217:AK233)</f>
        <v>62300</v>
      </c>
      <c r="AL240" s="193">
        <f t="shared" ref="AL240:AL242" si="1200">AK240/L240</f>
        <v>0.62613065326633166</v>
      </c>
      <c r="AM240" s="17">
        <f t="shared" ref="AM240:AM242" si="1201">AK240/AE240</f>
        <v>0.74122546103509812</v>
      </c>
      <c r="AN240" s="17">
        <f t="shared" ref="AN240:AN242" si="1202">AK240/AH240</f>
        <v>0.80448642580885432</v>
      </c>
      <c r="AS240" s="122">
        <f>SUM(AS217:AS233)</f>
        <v>62300</v>
      </c>
      <c r="AU240" s="122">
        <f>SUM(AU217:AU233)</f>
        <v>0</v>
      </c>
      <c r="AV240" s="122">
        <f>SUM(AV217:AV233)</f>
        <v>62300</v>
      </c>
      <c r="AX240" s="122">
        <f>SUM(AX217:AX233)</f>
        <v>0</v>
      </c>
      <c r="AY240" s="122">
        <f>SUM(AY217:AY233)</f>
        <v>62300</v>
      </c>
      <c r="BA240" s="122">
        <f>SUM(BA217:BA233)</f>
        <v>0</v>
      </c>
      <c r="BB240" s="122">
        <f>SUM(BB217:BB233)</f>
        <v>62300</v>
      </c>
      <c r="BD240" s="122">
        <f>SUM(BD217:BD233)</f>
        <v>0</v>
      </c>
      <c r="BE240" s="122">
        <f>SUM(BE217:BE233)</f>
        <v>62300</v>
      </c>
      <c r="BG240" s="122">
        <f>SUM(BG217:BG233)</f>
        <v>-1100</v>
      </c>
      <c r="BH240" s="122">
        <f>SUM(BH217:BH233)</f>
        <v>61200</v>
      </c>
      <c r="BJ240" s="122">
        <f>SUM(BJ217:BJ233)</f>
        <v>41369.660000000003</v>
      </c>
      <c r="BK240" s="236">
        <f t="shared" ref="BK240" si="1203">BJ240/BH240</f>
        <v>0.67597483660130719</v>
      </c>
      <c r="BM240" s="122">
        <f>SUM(BM217:BM233)</f>
        <v>95100</v>
      </c>
      <c r="BN240" s="236">
        <f t="shared" ref="BN240:BN242" si="1204">BM240/BJ240</f>
        <v>2.2987861152351745</v>
      </c>
      <c r="BO240" s="236">
        <f t="shared" ref="BO240:BO242" si="1205">BM240/BH240</f>
        <v>1.553921568627451</v>
      </c>
      <c r="BQ240" s="122">
        <f>SUM(BQ217:BQ233)</f>
        <v>-1000</v>
      </c>
      <c r="BR240" s="122">
        <f>SUM(BR217:BR233)</f>
        <v>94100</v>
      </c>
      <c r="BT240" s="122">
        <f>SUM(BT217:BT233)</f>
        <v>0</v>
      </c>
      <c r="BU240" s="122">
        <f>SUM(BU217:BU233)</f>
        <v>94100</v>
      </c>
      <c r="BW240" s="122">
        <f>SUM(BW217:BW233)</f>
        <v>12000</v>
      </c>
      <c r="BX240" s="122">
        <f>SUM(BX217:BX233)</f>
        <v>106100</v>
      </c>
      <c r="BZ240" s="122">
        <f>SUM(BZ217:BZ233)</f>
        <v>0</v>
      </c>
      <c r="CA240" s="122">
        <f>SUM(CA217:CA233)</f>
        <v>106100</v>
      </c>
      <c r="CC240" s="122">
        <f>SUM(CC217:CC233)</f>
        <v>0</v>
      </c>
      <c r="CD240" s="122">
        <f>SUM(CD217:CD233)</f>
        <v>106100</v>
      </c>
      <c r="CF240" s="122">
        <f>SUM(CF217:CF233)</f>
        <v>0</v>
      </c>
      <c r="CG240" s="122">
        <f>SUM(CG217:CG233)</f>
        <v>106100</v>
      </c>
      <c r="CI240" s="122">
        <f>SUM(CI217:CI233)</f>
        <v>7000</v>
      </c>
      <c r="CJ240" s="122">
        <f>SUM(CJ217:CJ233)</f>
        <v>113100</v>
      </c>
      <c r="CL240" s="319">
        <f>SUM(CL217:CL233)</f>
        <v>9000</v>
      </c>
      <c r="CM240" s="122">
        <f>SUM(CM217:CM233)</f>
        <v>122100</v>
      </c>
      <c r="CO240" s="122">
        <f>SUM(CO217:CO233)</f>
        <v>5000</v>
      </c>
      <c r="CP240" s="122">
        <f>SUM(CP217:CP233)</f>
        <v>127100</v>
      </c>
      <c r="CR240" s="122">
        <f>SUM(CR217:CR233)</f>
        <v>0</v>
      </c>
      <c r="CS240" s="122">
        <f>SUM(CS217:CS233)</f>
        <v>127100</v>
      </c>
      <c r="CU240" s="122">
        <f>SUM(CU217:CU233)</f>
        <v>-14200</v>
      </c>
      <c r="CV240" s="122">
        <f>SUM(CV217:CV233)</f>
        <v>112900</v>
      </c>
      <c r="CX240" s="122">
        <f>SUM(CX217:CX233)</f>
        <v>0</v>
      </c>
      <c r="CY240" s="122">
        <f>SUM(CY217:CY233)</f>
        <v>112900</v>
      </c>
      <c r="DA240" s="122">
        <f>SUM(DA217:DA233)</f>
        <v>110502.91</v>
      </c>
      <c r="DC240" s="122">
        <f>SUM(DC217:DC233)</f>
        <v>195500</v>
      </c>
      <c r="DE240" s="122">
        <f>SUM(DE217:DE233)</f>
        <v>0</v>
      </c>
      <c r="DF240" s="122">
        <f>SUM(DF217:DF233)</f>
        <v>195500</v>
      </c>
      <c r="DH240" s="122">
        <f>SUM(DH217:DH233)</f>
        <v>0</v>
      </c>
      <c r="DI240" s="122">
        <f>SUM(DI217:DI233)</f>
        <v>195500</v>
      </c>
      <c r="DK240" s="122">
        <f>SUM(DK217:DK234)</f>
        <v>249450</v>
      </c>
      <c r="DL240" s="122">
        <f>SUM(DL217:DL234)</f>
        <v>444950</v>
      </c>
      <c r="DN240" s="122">
        <f>SUM(DN217:DN234)</f>
        <v>0</v>
      </c>
      <c r="DO240" s="122">
        <f>SUM(DO217:DO234)</f>
        <v>444950</v>
      </c>
      <c r="DQ240" s="122">
        <f>SUM(DQ217:DQ234)</f>
        <v>71000</v>
      </c>
      <c r="DR240" s="122">
        <f>SUM(DR217:DR234)</f>
        <v>515950</v>
      </c>
      <c r="DT240" s="122">
        <f>SUM(DT217:DT234)</f>
        <v>5000</v>
      </c>
      <c r="DU240" s="122">
        <f>SUM(DU217:DU234)</f>
        <v>520950</v>
      </c>
      <c r="DW240" s="122">
        <f>SUM(DW217:DW234)</f>
        <v>4000</v>
      </c>
      <c r="DX240" s="122">
        <f>SUM(DX217:DX234)</f>
        <v>524950</v>
      </c>
      <c r="DZ240" s="122">
        <f>SUM(DZ217:DZ234)</f>
        <v>7250</v>
      </c>
      <c r="EA240" s="122">
        <f>SUM(EA217:EA234)</f>
        <v>532200</v>
      </c>
      <c r="EC240" s="122">
        <f>SUM(EC217:EC234)</f>
        <v>2300</v>
      </c>
      <c r="ED240" s="122">
        <f>SUM(ED217:ED234)</f>
        <v>534500</v>
      </c>
      <c r="EF240" s="122">
        <f>SUM(EF217:EF234)</f>
        <v>-26650</v>
      </c>
      <c r="EG240" s="122">
        <f>SUM(EG217:EG234)</f>
        <v>507850</v>
      </c>
      <c r="EI240" s="122">
        <f>SUM(EI217:EI234)</f>
        <v>505168.13</v>
      </c>
      <c r="EK240" s="122">
        <f>SUM(EK217:EK234)</f>
        <v>106700</v>
      </c>
      <c r="EL240" s="377">
        <f>EK240/EI240-1</f>
        <v>-0.78878319184545553</v>
      </c>
      <c r="EM240" s="122">
        <f>SUM(EM217:EM234)</f>
        <v>0</v>
      </c>
      <c r="EN240" s="122">
        <f>SUM(EN217:EN234)</f>
        <v>106700</v>
      </c>
      <c r="EP240" s="122">
        <f>SUM(EP217:EP234)</f>
        <v>0</v>
      </c>
      <c r="EQ240" s="122">
        <f>SUM(EQ217:EQ234)</f>
        <v>106700</v>
      </c>
      <c r="ES240" s="122">
        <f>SUM(ES217:ES234)</f>
        <v>-800</v>
      </c>
      <c r="ET240" s="122">
        <f>SUM(ET217:ET234)</f>
        <v>105900</v>
      </c>
      <c r="EV240" s="122">
        <f>SUM(EV217:EV234)</f>
        <v>-23200</v>
      </c>
      <c r="EW240" s="122">
        <f>SUM(EW217:EW234)</f>
        <v>82700</v>
      </c>
      <c r="EY240" s="122">
        <f>SUM(EY217:EY234)</f>
        <v>1000</v>
      </c>
      <c r="EZ240" s="122">
        <f>SUM(EZ217:EZ234)</f>
        <v>83700</v>
      </c>
      <c r="FB240" s="122">
        <f>SUM(FB217:FB234)</f>
        <v>-10000</v>
      </c>
      <c r="FC240" s="122">
        <f>SUM(FC217:FC234)</f>
        <v>73700</v>
      </c>
      <c r="FE240" s="122">
        <f>SUM(FE217:FE234)</f>
        <v>0</v>
      </c>
      <c r="FF240" s="122">
        <f>SUM(FF217:FF234)</f>
        <v>73700</v>
      </c>
      <c r="FH240" s="122">
        <f>SUM(FH217:FH234)</f>
        <v>14700</v>
      </c>
      <c r="FI240" s="122">
        <f>SUM(FI217:FI234)</f>
        <v>88400</v>
      </c>
      <c r="FK240" s="122">
        <f>SUM(FK217:FK234)</f>
        <v>14000</v>
      </c>
      <c r="FL240" s="122">
        <f>SUM(FL217:FL234)</f>
        <v>102400</v>
      </c>
      <c r="FN240" s="122">
        <f>SUM(FN217:FN234)</f>
        <v>0</v>
      </c>
      <c r="FO240" s="122">
        <f>SUM(FO217:FO234)</f>
        <v>102400</v>
      </c>
      <c r="FQ240" s="122">
        <v>260</v>
      </c>
      <c r="FR240" s="122">
        <v>102660</v>
      </c>
      <c r="FT240" s="122">
        <f>SUM(FT217:FT234)</f>
        <v>76830</v>
      </c>
      <c r="FV240" s="122">
        <f>SUM(FV217:FV234)</f>
        <v>118000</v>
      </c>
      <c r="FW240" s="235">
        <f t="shared" si="1068"/>
        <v>1.5358583886502668</v>
      </c>
      <c r="FY240" s="122">
        <f>SUM(FY217:FY234)</f>
        <v>-15000</v>
      </c>
      <c r="FZ240" s="122">
        <f>SUM(FZ217:FZ234)</f>
        <v>103000</v>
      </c>
      <c r="GB240" s="122">
        <f>SUM(GB217:GB234)</f>
        <v>0</v>
      </c>
      <c r="GC240" s="122">
        <f>SUM(GC217:GC234)</f>
        <v>103000</v>
      </c>
      <c r="GE240" s="122">
        <f>SUM(GE217:GE234)</f>
        <v>0</v>
      </c>
      <c r="GF240" s="122">
        <f>SUM(GF217:GF234)</f>
        <v>103000</v>
      </c>
      <c r="GH240" s="122">
        <f>SUM(GH217:GH234)</f>
        <v>0</v>
      </c>
      <c r="GI240" s="122">
        <f>SUM(GI217:GI234)</f>
        <v>103000</v>
      </c>
      <c r="GK240" s="122">
        <f>SUM(GK217:GK234)</f>
        <v>0</v>
      </c>
      <c r="GL240" s="122">
        <f>SUM(GL217:GL234)</f>
        <v>103000</v>
      </c>
      <c r="GN240" s="122">
        <f>SUM(GN217:GN234)</f>
        <v>500</v>
      </c>
      <c r="GO240" s="122">
        <f>SUM(GO217:GO234)</f>
        <v>103500</v>
      </c>
      <c r="GQ240" s="122">
        <f>SUM(GQ217:GQ234)</f>
        <v>13000</v>
      </c>
      <c r="GR240" s="122">
        <f>SUM(GR217:GR234)</f>
        <v>116500</v>
      </c>
      <c r="GT240" s="122">
        <f>SUM(GT217:GT234)</f>
        <v>6200</v>
      </c>
      <c r="GU240" s="122">
        <f>SUM(GU217:GU234)</f>
        <v>122700</v>
      </c>
      <c r="GW240" s="122">
        <f>SUM(GW217:GW234)</f>
        <v>-1000</v>
      </c>
      <c r="GX240" s="122">
        <f>SUM(GX217:GX234)</f>
        <v>121700</v>
      </c>
      <c r="GZ240" s="122">
        <f>SUM(GZ217:GZ234)</f>
        <v>400</v>
      </c>
      <c r="HA240" s="430">
        <f>SUM(HA217:HA234)</f>
        <v>122100</v>
      </c>
      <c r="HC240" s="122">
        <f>SUM(HC217:HC234)</f>
        <v>87863.739999999991</v>
      </c>
      <c r="HE240" s="122">
        <f>SUM(HE217:HE234)</f>
        <v>101000</v>
      </c>
      <c r="HF240" s="235">
        <f t="shared" si="1195"/>
        <v>1.1495071800949972</v>
      </c>
    </row>
    <row r="241" spans="1:214" ht="16.5" customHeight="1" thickTop="1" thickBot="1">
      <c r="A241" s="64" t="s">
        <v>201</v>
      </c>
      <c r="B241" s="65" t="s">
        <v>357</v>
      </c>
      <c r="C241" s="284" t="s">
        <v>345</v>
      </c>
      <c r="D241" s="66">
        <f>D228</f>
        <v>160000</v>
      </c>
      <c r="E241" s="67"/>
      <c r="F241" s="66">
        <f>F228</f>
        <v>40000</v>
      </c>
      <c r="G241" s="67"/>
      <c r="H241" s="66"/>
      <c r="I241" s="66">
        <f>I228</f>
        <v>28599</v>
      </c>
      <c r="J241" s="68"/>
      <c r="K241" s="69"/>
      <c r="L241" s="123">
        <f>L228</f>
        <v>20000</v>
      </c>
      <c r="M241" s="70">
        <f t="shared" si="1196"/>
        <v>-0.5</v>
      </c>
      <c r="N241" s="70">
        <f t="shared" si="1197"/>
        <v>-0.30067484877093609</v>
      </c>
      <c r="Q241" s="123">
        <f>Q228</f>
        <v>20000</v>
      </c>
      <c r="R241" s="123">
        <f>R228</f>
        <v>3993</v>
      </c>
      <c r="S241" s="123">
        <f>S228</f>
        <v>8000</v>
      </c>
      <c r="T241" s="123">
        <f>T228</f>
        <v>-12000</v>
      </c>
      <c r="U241" s="155">
        <f t="shared" si="1198"/>
        <v>-0.6</v>
      </c>
      <c r="Y241" s="123">
        <f>Y228</f>
        <v>8000</v>
      </c>
      <c r="AA241" s="123">
        <f>AA228</f>
        <v>8500</v>
      </c>
      <c r="AB241" s="123">
        <f>AB228</f>
        <v>500</v>
      </c>
      <c r="AE241" s="123">
        <f>AE228</f>
        <v>9400</v>
      </c>
      <c r="AF241" s="182"/>
      <c r="AH241" s="123">
        <f>AH228</f>
        <v>9338</v>
      </c>
      <c r="AI241" s="17">
        <f t="shared" si="1199"/>
        <v>0.99340425531914889</v>
      </c>
      <c r="AK241" s="123">
        <f>AK228</f>
        <v>15000</v>
      </c>
      <c r="AL241" s="193">
        <f t="shared" si="1200"/>
        <v>0.75</v>
      </c>
      <c r="AM241" s="17">
        <f t="shared" si="1201"/>
        <v>1.5957446808510638</v>
      </c>
      <c r="AN241" s="17">
        <f t="shared" si="1202"/>
        <v>1.6063396872992075</v>
      </c>
      <c r="AS241" s="123">
        <f>AS228</f>
        <v>15000</v>
      </c>
      <c r="AU241" s="123">
        <f>AU228</f>
        <v>0</v>
      </c>
      <c r="AV241" s="123">
        <f>AV228</f>
        <v>15000</v>
      </c>
      <c r="AX241" s="123">
        <f>AX228</f>
        <v>0</v>
      </c>
      <c r="AY241" s="123">
        <f>AY228</f>
        <v>15000</v>
      </c>
      <c r="BA241" s="123">
        <f>BA228</f>
        <v>0</v>
      </c>
      <c r="BB241" s="123">
        <f>BB228</f>
        <v>15000</v>
      </c>
      <c r="BD241" s="123">
        <f>BD228</f>
        <v>-5000</v>
      </c>
      <c r="BE241" s="123">
        <f>BE228</f>
        <v>10000</v>
      </c>
      <c r="BG241" s="123">
        <f>BG228</f>
        <v>-2200</v>
      </c>
      <c r="BH241" s="123">
        <f>BH228</f>
        <v>7800</v>
      </c>
      <c r="BJ241" s="123">
        <f>BJ228</f>
        <v>5156</v>
      </c>
      <c r="BK241" s="236">
        <f t="shared" ref="BK241:BK242" si="1206">BJ241/BH241</f>
        <v>0.66102564102564099</v>
      </c>
      <c r="BM241" s="123">
        <f>BM228</f>
        <v>8000</v>
      </c>
      <c r="BN241" s="236">
        <f t="shared" si="1204"/>
        <v>1.5515903801396431</v>
      </c>
      <c r="BO241" s="236">
        <f t="shared" si="1205"/>
        <v>1.0256410256410255</v>
      </c>
      <c r="BQ241" s="123">
        <f>BQ228</f>
        <v>0</v>
      </c>
      <c r="BR241" s="123">
        <f>BR228</f>
        <v>8000</v>
      </c>
      <c r="BT241" s="123">
        <f>BT228</f>
        <v>0</v>
      </c>
      <c r="BU241" s="123">
        <f>BU228</f>
        <v>8000</v>
      </c>
      <c r="BW241" s="123">
        <f>BW228</f>
        <v>0</v>
      </c>
      <c r="BX241" s="123">
        <f>BX228</f>
        <v>8000</v>
      </c>
      <c r="BZ241" s="123">
        <f>BZ228</f>
        <v>0</v>
      </c>
      <c r="CA241" s="123">
        <f>CA228</f>
        <v>8000</v>
      </c>
      <c r="CC241" s="123">
        <f>CC228</f>
        <v>0</v>
      </c>
      <c r="CD241" s="123">
        <f>CD228</f>
        <v>8000</v>
      </c>
      <c r="CF241" s="123">
        <f>CF228</f>
        <v>0</v>
      </c>
      <c r="CG241" s="123">
        <f>CG228</f>
        <v>8000</v>
      </c>
      <c r="CI241" s="123">
        <f>CI228</f>
        <v>7000</v>
      </c>
      <c r="CJ241" s="123">
        <f>CJ228</f>
        <v>15000</v>
      </c>
      <c r="CL241" s="319">
        <f>CL228</f>
        <v>0</v>
      </c>
      <c r="CM241" s="123">
        <f>CM228</f>
        <v>15000</v>
      </c>
      <c r="CO241" s="123">
        <f>CO228</f>
        <v>0</v>
      </c>
      <c r="CP241" s="123">
        <f>CP228</f>
        <v>15000</v>
      </c>
      <c r="CR241" s="123">
        <f>CR228</f>
        <v>0</v>
      </c>
      <c r="CS241" s="123">
        <f>CS228</f>
        <v>15000</v>
      </c>
      <c r="CU241" s="123">
        <f>CU228</f>
        <v>3000</v>
      </c>
      <c r="CV241" s="123">
        <f>CV228</f>
        <v>18000</v>
      </c>
      <c r="CX241" s="123">
        <f>CX228</f>
        <v>0</v>
      </c>
      <c r="CY241" s="123">
        <f>CY228</f>
        <v>18000</v>
      </c>
      <c r="DA241" s="123">
        <f>DA228</f>
        <v>17718.36</v>
      </c>
      <c r="DC241" s="123">
        <f>DC228</f>
        <v>70000</v>
      </c>
      <c r="DE241" s="123">
        <f>DE228</f>
        <v>0</v>
      </c>
      <c r="DF241" s="123">
        <f>DF228</f>
        <v>70000</v>
      </c>
      <c r="DH241" s="123">
        <f>DH228</f>
        <v>0</v>
      </c>
      <c r="DI241" s="123">
        <f>DI228</f>
        <v>70000</v>
      </c>
      <c r="DK241" s="123">
        <f>DK228</f>
        <v>0</v>
      </c>
      <c r="DL241" s="123">
        <f>DL228</f>
        <v>70000</v>
      </c>
      <c r="DN241" s="123">
        <f>DN228</f>
        <v>0</v>
      </c>
      <c r="DO241" s="123">
        <f>DO228</f>
        <v>70000</v>
      </c>
      <c r="DQ241" s="123">
        <f>DQ228</f>
        <v>65000</v>
      </c>
      <c r="DR241" s="123">
        <f>DR228</f>
        <v>135000</v>
      </c>
      <c r="DT241" s="123">
        <f>DT228</f>
        <v>0</v>
      </c>
      <c r="DU241" s="123">
        <f>DU228</f>
        <v>135000</v>
      </c>
      <c r="DW241" s="123">
        <f>DW228</f>
        <v>0</v>
      </c>
      <c r="DX241" s="123">
        <f>DX228</f>
        <v>135000</v>
      </c>
      <c r="DZ241" s="123">
        <f>DZ228</f>
        <v>2000</v>
      </c>
      <c r="EA241" s="123">
        <f>EA228</f>
        <v>137000</v>
      </c>
      <c r="EC241" s="123">
        <f>EC228</f>
        <v>0</v>
      </c>
      <c r="ED241" s="123">
        <f>ED228</f>
        <v>137000</v>
      </c>
      <c r="EF241" s="123">
        <f>EF228</f>
        <v>0</v>
      </c>
      <c r="EG241" s="123">
        <f>EG228</f>
        <v>137000</v>
      </c>
      <c r="EI241" s="123">
        <f>EI228</f>
        <v>136271.85999999999</v>
      </c>
      <c r="EK241" s="123">
        <f>EK228</f>
        <v>5000</v>
      </c>
      <c r="EL241" s="377">
        <f>EK241/EI241-1</f>
        <v>-0.96330863906899045</v>
      </c>
      <c r="EM241" s="123">
        <f>EM228</f>
        <v>0</v>
      </c>
      <c r="EN241" s="123">
        <f>EN228</f>
        <v>5000</v>
      </c>
      <c r="EP241" s="123">
        <f>EP228</f>
        <v>0</v>
      </c>
      <c r="EQ241" s="123">
        <f>EQ228</f>
        <v>5000</v>
      </c>
      <c r="ES241" s="123">
        <f>ES228</f>
        <v>0</v>
      </c>
      <c r="ET241" s="123">
        <f>ET228</f>
        <v>5000</v>
      </c>
      <c r="EV241" s="123">
        <f>EV228</f>
        <v>0</v>
      </c>
      <c r="EW241" s="123">
        <f>EW228</f>
        <v>5000</v>
      </c>
      <c r="EY241" s="123">
        <f>EY228</f>
        <v>0</v>
      </c>
      <c r="EZ241" s="123">
        <f>EZ228</f>
        <v>5000</v>
      </c>
      <c r="FB241" s="123">
        <f>FB228</f>
        <v>0</v>
      </c>
      <c r="FC241" s="123">
        <f>FC228</f>
        <v>5000</v>
      </c>
      <c r="FE241" s="123">
        <f>FE228</f>
        <v>0</v>
      </c>
      <c r="FF241" s="123">
        <f>FF228</f>
        <v>5000</v>
      </c>
      <c r="FH241" s="123">
        <f>FH228</f>
        <v>0</v>
      </c>
      <c r="FI241" s="123">
        <f>FI228</f>
        <v>5000</v>
      </c>
      <c r="FK241" s="123">
        <f>FK228</f>
        <v>20000</v>
      </c>
      <c r="FL241" s="123">
        <f>FL228</f>
        <v>25000</v>
      </c>
      <c r="FN241" s="123">
        <f>FN228</f>
        <v>0</v>
      </c>
      <c r="FO241" s="123">
        <f>FO228</f>
        <v>25000</v>
      </c>
      <c r="FQ241" s="123">
        <v>0</v>
      </c>
      <c r="FR241" s="123">
        <v>25000</v>
      </c>
      <c r="FT241" s="123">
        <f>FT228</f>
        <v>21711</v>
      </c>
      <c r="FV241" s="123">
        <f>FV228</f>
        <v>25000</v>
      </c>
      <c r="FW241" s="235">
        <f t="shared" si="1068"/>
        <v>1.1514900280963567</v>
      </c>
      <c r="FY241" s="123">
        <f>FY228</f>
        <v>-15000</v>
      </c>
      <c r="FZ241" s="123">
        <f>FZ228</f>
        <v>10000</v>
      </c>
      <c r="GB241" s="123">
        <f>GB228</f>
        <v>0</v>
      </c>
      <c r="GC241" s="123">
        <f>GC228</f>
        <v>10000</v>
      </c>
      <c r="GE241" s="123">
        <f>GE228</f>
        <v>0</v>
      </c>
      <c r="GF241" s="123">
        <f>GF228</f>
        <v>10000</v>
      </c>
      <c r="GH241" s="123">
        <f>GH228</f>
        <v>0</v>
      </c>
      <c r="GI241" s="123">
        <f>GI228</f>
        <v>10000</v>
      </c>
      <c r="GK241" s="123">
        <f>GK228</f>
        <v>0</v>
      </c>
      <c r="GL241" s="123">
        <f>GL228</f>
        <v>10000</v>
      </c>
      <c r="GN241" s="123">
        <f>GN228</f>
        <v>0</v>
      </c>
      <c r="GO241" s="123">
        <f>GO228</f>
        <v>10000</v>
      </c>
      <c r="GQ241" s="123">
        <f>GQ228</f>
        <v>0</v>
      </c>
      <c r="GR241" s="123">
        <f>GR228</f>
        <v>10000</v>
      </c>
      <c r="GT241" s="123">
        <f>GT228</f>
        <v>0</v>
      </c>
      <c r="GU241" s="123">
        <f>GU228</f>
        <v>10000</v>
      </c>
      <c r="GW241" s="123">
        <f>GW228</f>
        <v>0</v>
      </c>
      <c r="GX241" s="123">
        <f>GX228</f>
        <v>10000</v>
      </c>
      <c r="GZ241" s="123">
        <f>GZ228</f>
        <v>0</v>
      </c>
      <c r="HA241" s="431">
        <f>HA228</f>
        <v>10000</v>
      </c>
      <c r="HC241" s="123">
        <f>HC228</f>
        <v>6401.9</v>
      </c>
      <c r="HE241" s="123">
        <f>HE228</f>
        <v>10000</v>
      </c>
      <c r="HF241" s="235">
        <f t="shared" si="1195"/>
        <v>1.5620362704822006</v>
      </c>
    </row>
    <row r="242" spans="1:214" ht="15" customHeight="1" thickTop="1" thickBot="1">
      <c r="A242" s="75" t="s">
        <v>201</v>
      </c>
      <c r="B242" s="76" t="s">
        <v>277</v>
      </c>
      <c r="C242" s="285" t="s">
        <v>346</v>
      </c>
      <c r="D242" s="78">
        <f>D235+D237</f>
        <v>900000</v>
      </c>
      <c r="E242" s="79"/>
      <c r="F242" s="78">
        <f>F235+F237</f>
        <v>270400</v>
      </c>
      <c r="G242" s="79"/>
      <c r="H242" s="78"/>
      <c r="I242" s="78">
        <f>I235+I237</f>
        <v>270398.71000000002</v>
      </c>
      <c r="J242" s="80"/>
      <c r="K242" s="77"/>
      <c r="L242" s="124">
        <f>L235+L237</f>
        <v>660000</v>
      </c>
      <c r="M242" s="81">
        <f t="shared" si="1196"/>
        <v>1.440828402366864</v>
      </c>
      <c r="N242" s="81">
        <f t="shared" si="1197"/>
        <v>1.4408400469070282</v>
      </c>
      <c r="Q242" s="124">
        <f>Q235+Q237</f>
        <v>1016000</v>
      </c>
      <c r="R242" s="124">
        <f>R235+R237</f>
        <v>0</v>
      </c>
      <c r="S242" s="124">
        <f>S235+S237</f>
        <v>906000</v>
      </c>
      <c r="T242" s="124">
        <f>T235+T237</f>
        <v>-110000</v>
      </c>
      <c r="U242" s="156">
        <f t="shared" si="1198"/>
        <v>-0.1082677165354331</v>
      </c>
      <c r="Y242" s="124">
        <f>Y235+Y237</f>
        <v>906000</v>
      </c>
      <c r="AA242" s="124">
        <f>AA235+AA237</f>
        <v>905010</v>
      </c>
      <c r="AB242" s="124">
        <f>AB235+AB237</f>
        <v>-990</v>
      </c>
      <c r="AE242" s="124">
        <f>AE235+AE237</f>
        <v>905010</v>
      </c>
      <c r="AF242" s="182"/>
      <c r="AH242" s="124">
        <f>AH235+AH237</f>
        <v>905007.4</v>
      </c>
      <c r="AI242" s="17">
        <f t="shared" si="1199"/>
        <v>0.99999712710356792</v>
      </c>
      <c r="AK242" s="124">
        <f>AK235+AK237</f>
        <v>0</v>
      </c>
      <c r="AL242" s="193">
        <f t="shared" si="1200"/>
        <v>0</v>
      </c>
      <c r="AM242" s="17">
        <f t="shared" si="1201"/>
        <v>0</v>
      </c>
      <c r="AN242" s="17">
        <f t="shared" si="1202"/>
        <v>0</v>
      </c>
      <c r="AS242" s="124">
        <f>AS235+AS237</f>
        <v>0</v>
      </c>
      <c r="AU242" s="124">
        <f>AU235+AU237</f>
        <v>0</v>
      </c>
      <c r="AV242" s="124">
        <f>AV235+AV237</f>
        <v>0</v>
      </c>
      <c r="AX242" s="124">
        <f>AX235+AX237</f>
        <v>0</v>
      </c>
      <c r="AY242" s="124">
        <f>AY235+AY237</f>
        <v>0</v>
      </c>
      <c r="BA242" s="124">
        <f>BA235+BA237</f>
        <v>0</v>
      </c>
      <c r="BB242" s="124">
        <f>BB235+BB237</f>
        <v>0</v>
      </c>
      <c r="BD242" s="124">
        <f>BD235+BD237</f>
        <v>0</v>
      </c>
      <c r="BE242" s="124">
        <f>BE235+BE237</f>
        <v>0</v>
      </c>
      <c r="BG242" s="124">
        <f>BG235+BG237</f>
        <v>0</v>
      </c>
      <c r="BH242" s="124">
        <f>BH235+BH237</f>
        <v>0</v>
      </c>
      <c r="BJ242" s="124">
        <f>BJ235+BJ237</f>
        <v>0</v>
      </c>
      <c r="BK242" s="237" t="e">
        <f t="shared" si="1206"/>
        <v>#DIV/0!</v>
      </c>
      <c r="BM242" s="124">
        <f>BM235+BM237</f>
        <v>0</v>
      </c>
      <c r="BN242" s="237" t="e">
        <f t="shared" si="1204"/>
        <v>#DIV/0!</v>
      </c>
      <c r="BO242" s="237" t="e">
        <f t="shared" si="1205"/>
        <v>#DIV/0!</v>
      </c>
      <c r="BQ242" s="124">
        <f>BQ235+BQ237</f>
        <v>0</v>
      </c>
      <c r="BR242" s="124">
        <f>BR235+BR237</f>
        <v>0</v>
      </c>
      <c r="BT242" s="124">
        <f>BT235+BT237</f>
        <v>0</v>
      </c>
      <c r="BU242" s="124">
        <f>BU235+BU237</f>
        <v>0</v>
      </c>
      <c r="BW242" s="124">
        <f>BW235+BW237</f>
        <v>0</v>
      </c>
      <c r="BX242" s="124">
        <f>BX235+BX237</f>
        <v>0</v>
      </c>
      <c r="BZ242" s="124">
        <f>BZ235+BZ237</f>
        <v>0</v>
      </c>
      <c r="CA242" s="124">
        <f>CA235+CA237</f>
        <v>0</v>
      </c>
      <c r="CC242" s="124">
        <f>CC235+CC237</f>
        <v>0</v>
      </c>
      <c r="CD242" s="124">
        <f>CD235+CD237</f>
        <v>0</v>
      </c>
      <c r="CF242" s="124">
        <f>CF235+CF237</f>
        <v>0</v>
      </c>
      <c r="CG242" s="124">
        <f>CG235+CG237</f>
        <v>0</v>
      </c>
      <c r="CI242" s="124">
        <f>CI235+CI237</f>
        <v>0</v>
      </c>
      <c r="CJ242" s="124">
        <f>CJ235+CJ237</f>
        <v>0</v>
      </c>
      <c r="CL242" s="319">
        <f>CL235+CL237</f>
        <v>0</v>
      </c>
      <c r="CM242" s="124">
        <f>CM235+CM237</f>
        <v>0</v>
      </c>
      <c r="CO242" s="124">
        <f>CO235+CO237</f>
        <v>0</v>
      </c>
      <c r="CP242" s="124">
        <f>CP235+CP237</f>
        <v>0</v>
      </c>
      <c r="CR242" s="124">
        <f>CR235+CR237</f>
        <v>0</v>
      </c>
      <c r="CS242" s="124">
        <f>CS235+CS237</f>
        <v>0</v>
      </c>
      <c r="CU242" s="124">
        <f>CU235+CU237</f>
        <v>0</v>
      </c>
      <c r="CV242" s="124">
        <f>CV235+CV237</f>
        <v>0</v>
      </c>
      <c r="CX242" s="124">
        <f>CX235+CX237</f>
        <v>0</v>
      </c>
      <c r="CY242" s="124">
        <f>CY235+CY237</f>
        <v>0</v>
      </c>
      <c r="DA242" s="124">
        <f>DA235+DA237</f>
        <v>0</v>
      </c>
      <c r="DC242" s="124">
        <f>DC235+DC237</f>
        <v>0</v>
      </c>
      <c r="DE242" s="124">
        <f>DE235+DE237</f>
        <v>0</v>
      </c>
      <c r="DF242" s="124">
        <f>DF235+DF237</f>
        <v>0</v>
      </c>
      <c r="DH242" s="124">
        <f>DH235+DH237</f>
        <v>0</v>
      </c>
      <c r="DI242" s="124">
        <f>DI235+DI237</f>
        <v>0</v>
      </c>
      <c r="DK242" s="124">
        <f>DK235+DK237</f>
        <v>0</v>
      </c>
      <c r="DL242" s="124">
        <f>DL235+DL237</f>
        <v>0</v>
      </c>
      <c r="DN242" s="124">
        <f>DN235+DN237</f>
        <v>0</v>
      </c>
      <c r="DO242" s="124">
        <f>DO235+DO237</f>
        <v>0</v>
      </c>
      <c r="DQ242" s="124">
        <f>DQ235+DQ237</f>
        <v>0</v>
      </c>
      <c r="DR242" s="124">
        <f>DR235+DR237</f>
        <v>0</v>
      </c>
      <c r="DT242" s="124">
        <f>DT235+DT237</f>
        <v>0</v>
      </c>
      <c r="DU242" s="124">
        <f>DU235+DU237</f>
        <v>0</v>
      </c>
      <c r="DW242" s="124">
        <f>DW235+DW237</f>
        <v>0</v>
      </c>
      <c r="DX242" s="124">
        <f>DX235+DX237</f>
        <v>0</v>
      </c>
      <c r="DZ242" s="124">
        <f>DZ235+DZ237</f>
        <v>0</v>
      </c>
      <c r="EA242" s="124">
        <f>EA235+EA237</f>
        <v>0</v>
      </c>
      <c r="EC242" s="124">
        <f>EC235+EC237</f>
        <v>0</v>
      </c>
      <c r="ED242" s="124">
        <f>ED235+ED237</f>
        <v>0</v>
      </c>
      <c r="EF242" s="124">
        <f>EF235+EF237</f>
        <v>0</v>
      </c>
      <c r="EG242" s="124">
        <f>EG235+EG237</f>
        <v>0</v>
      </c>
      <c r="EI242" s="124">
        <f>EI235+EI237</f>
        <v>0</v>
      </c>
      <c r="EK242" s="124">
        <f>EK235+EK237</f>
        <v>0</v>
      </c>
      <c r="EL242" s="377" t="e">
        <f>EK242/EI242-1</f>
        <v>#DIV/0!</v>
      </c>
      <c r="EM242" s="124">
        <f>EM235+EM237</f>
        <v>0</v>
      </c>
      <c r="EN242" s="124">
        <f>EN235+EN237</f>
        <v>0</v>
      </c>
      <c r="EP242" s="124">
        <f>EP235+EP237</f>
        <v>0</v>
      </c>
      <c r="EQ242" s="124">
        <f>EQ235+EQ237</f>
        <v>0</v>
      </c>
      <c r="ES242" s="124">
        <f>ES235+ES237</f>
        <v>0</v>
      </c>
      <c r="ET242" s="124">
        <f>ET235+ET237</f>
        <v>0</v>
      </c>
      <c r="EV242" s="124">
        <f>EV235+EV237</f>
        <v>0</v>
      </c>
      <c r="EW242" s="124">
        <f>EW235+EW237</f>
        <v>0</v>
      </c>
      <c r="EY242" s="124">
        <f>EY235+EY237</f>
        <v>0</v>
      </c>
      <c r="EZ242" s="124">
        <f>EZ235+EZ237</f>
        <v>0</v>
      </c>
      <c r="FB242" s="124">
        <f>FB235+FB237</f>
        <v>0</v>
      </c>
      <c r="FC242" s="124">
        <f>FC235+FC237</f>
        <v>0</v>
      </c>
      <c r="FE242" s="124">
        <f>FE235+FE237</f>
        <v>0</v>
      </c>
      <c r="FF242" s="124">
        <f>FF235+FF237</f>
        <v>0</v>
      </c>
      <c r="FH242" s="124">
        <f>FH235+FH237</f>
        <v>0</v>
      </c>
      <c r="FI242" s="124">
        <f>FI235+FI237</f>
        <v>0</v>
      </c>
      <c r="FK242" s="124">
        <f>FK235+FK237</f>
        <v>0</v>
      </c>
      <c r="FL242" s="124">
        <f>FL235+FL237</f>
        <v>0</v>
      </c>
      <c r="FN242" s="124">
        <f>FN235+FN237</f>
        <v>0</v>
      </c>
      <c r="FO242" s="124">
        <f>FO235+FO237</f>
        <v>0</v>
      </c>
      <c r="FQ242" s="124">
        <v>0</v>
      </c>
      <c r="FR242" s="124">
        <v>0</v>
      </c>
      <c r="FT242" s="124">
        <f>FT235+FT237+FT236</f>
        <v>0</v>
      </c>
      <c r="FV242" s="124">
        <f>FV235+FV237+FV236</f>
        <v>50000</v>
      </c>
      <c r="FW242" s="235" t="e">
        <f t="shared" si="1068"/>
        <v>#DIV/0!</v>
      </c>
      <c r="FY242" s="124">
        <f>FY235+FY237+FY236</f>
        <v>-7300</v>
      </c>
      <c r="FZ242" s="124">
        <f>FZ235+FZ237+FZ236</f>
        <v>42700</v>
      </c>
      <c r="GB242" s="124">
        <f>GB235+GB237+GB236</f>
        <v>0</v>
      </c>
      <c r="GC242" s="124">
        <f>GC235+GC237+GC236</f>
        <v>42700</v>
      </c>
      <c r="GE242" s="124">
        <f>GE235+GE237+GE236</f>
        <v>7300</v>
      </c>
      <c r="GF242" s="124">
        <f>GF235+GF237+GF236</f>
        <v>50000</v>
      </c>
      <c r="GH242" s="124">
        <f>GH235+GH237+GH236</f>
        <v>0</v>
      </c>
      <c r="GI242" s="124">
        <f>GI235+GI237+GI236</f>
        <v>50000</v>
      </c>
      <c r="GK242" s="124">
        <f>GK235+GK237+GK236</f>
        <v>0</v>
      </c>
      <c r="GL242" s="124">
        <f>GL235+GL237+GL236</f>
        <v>50000</v>
      </c>
      <c r="GN242" s="124">
        <f>GN235+GN237+GN236</f>
        <v>0</v>
      </c>
      <c r="GO242" s="124">
        <f>GO235+GO237+GO236</f>
        <v>50000</v>
      </c>
      <c r="GQ242" s="124">
        <f>GQ235+GQ237+GQ236</f>
        <v>4650</v>
      </c>
      <c r="GR242" s="124">
        <f>GR235+GR237+GR236</f>
        <v>54650</v>
      </c>
      <c r="GT242" s="124">
        <f>GT235+GT237+GT236</f>
        <v>0</v>
      </c>
      <c r="GU242" s="124">
        <f>GU235+GU237+GU236</f>
        <v>54650</v>
      </c>
      <c r="GW242" s="124">
        <f>GW235+GW237+GW236</f>
        <v>0</v>
      </c>
      <c r="GX242" s="124">
        <f>GX235+GX237+GX236</f>
        <v>54650</v>
      </c>
      <c r="GZ242" s="124">
        <f>GZ235+GZ237+GZ236</f>
        <v>0</v>
      </c>
      <c r="HA242" s="432">
        <f>HA235+HA237+HA236</f>
        <v>54650</v>
      </c>
      <c r="HC242" s="124">
        <f>HC235+HC237+HC236</f>
        <v>54650</v>
      </c>
      <c r="HE242" s="124">
        <f>HE235+HE237+HE236</f>
        <v>40000</v>
      </c>
      <c r="HF242" s="235">
        <f t="shared" si="1195"/>
        <v>0.73193046660567251</v>
      </c>
    </row>
    <row r="243" spans="1:214" ht="15.75" hidden="1" outlineLevel="1" thickTop="1">
      <c r="A243" s="1" t="s">
        <v>215</v>
      </c>
      <c r="B243" s="1" t="s">
        <v>216</v>
      </c>
      <c r="C243" s="4" t="s">
        <v>217</v>
      </c>
      <c r="D243" s="43">
        <v>722000</v>
      </c>
      <c r="E243" s="34">
        <v>112.02</v>
      </c>
      <c r="F243" s="43">
        <v>1080000</v>
      </c>
      <c r="G243" s="34">
        <v>74.89</v>
      </c>
      <c r="H243" s="46">
        <v>808768</v>
      </c>
      <c r="I243" s="36">
        <f>H243+2*'[3]2020'!$C$15</f>
        <v>927768</v>
      </c>
      <c r="J243" s="14"/>
      <c r="K243" t="s">
        <v>332</v>
      </c>
      <c r="L243" s="118">
        <f>12*'[3]2020'!$D$15+20</f>
        <v>764000.00000000012</v>
      </c>
      <c r="M243" s="17">
        <f t="shared" si="1196"/>
        <v>-0.29259259259259252</v>
      </c>
      <c r="N243" s="17">
        <f t="shared" si="1197"/>
        <v>-0.17651826749790889</v>
      </c>
      <c r="Q243" s="118">
        <v>764000</v>
      </c>
      <c r="R243" s="15">
        <v>378930</v>
      </c>
      <c r="S243" s="118">
        <v>764000</v>
      </c>
      <c r="T243" s="15">
        <f>S243-Q243</f>
        <v>0</v>
      </c>
      <c r="U243" s="16">
        <f t="shared" si="1198"/>
        <v>0</v>
      </c>
      <c r="Y243" s="118">
        <v>764000</v>
      </c>
      <c r="AA243" s="118">
        <v>764000</v>
      </c>
      <c r="AB243" s="185">
        <f t="shared" ref="AB243:AB245" si="1207">AA243-Y243</f>
        <v>0</v>
      </c>
      <c r="AC243" s="187">
        <f t="shared" ref="AC243:AC245" si="1208">AA243-Y243</f>
        <v>0</v>
      </c>
      <c r="AD243" s="187"/>
      <c r="AE243" s="118">
        <v>764000</v>
      </c>
      <c r="AF243" s="182"/>
      <c r="AH243" s="15">
        <v>762246</v>
      </c>
      <c r="AI243" s="17">
        <f t="shared" si="1199"/>
        <v>0.99770418848167541</v>
      </c>
      <c r="AK243" s="118">
        <v>764000</v>
      </c>
      <c r="AS243" s="15">
        <f t="shared" ref="AS243:AS245" si="1209">AR243+AK243</f>
        <v>764000</v>
      </c>
      <c r="AV243" s="15">
        <f t="shared" ref="AV243:AV245" si="1210">AS243+AU243</f>
        <v>764000</v>
      </c>
      <c r="AX243" s="15"/>
      <c r="AY243" s="15">
        <f t="shared" ref="AY243:AY245" si="1211">AV243+AX243</f>
        <v>764000</v>
      </c>
      <c r="BB243" s="15">
        <f t="shared" ref="BB243:BB245" si="1212">AY243+BA243</f>
        <v>764000</v>
      </c>
      <c r="BD243" s="15">
        <v>1000</v>
      </c>
      <c r="BE243" s="15">
        <f t="shared" ref="BE243:BE245" si="1213">BB243+BD243</f>
        <v>765000</v>
      </c>
      <c r="BG243" s="15">
        <v>2000</v>
      </c>
      <c r="BH243" s="15">
        <f t="shared" ref="BH243:BH245" si="1214">BE243+BG243</f>
        <v>767000</v>
      </c>
      <c r="BJ243" s="15">
        <v>766632</v>
      </c>
      <c r="BK243" s="235">
        <f t="shared" ref="BK243:BK245" si="1215">BJ243/BH243</f>
        <v>0.99952020860495439</v>
      </c>
      <c r="BM243" s="15">
        <v>767000</v>
      </c>
      <c r="BN243" s="235">
        <f t="shared" ref="BN243:BN247" si="1216">BM243/BJ243</f>
        <v>1.0004800217053293</v>
      </c>
      <c r="BO243" s="235">
        <f t="shared" ref="BO243:BO247" si="1217">BM243/BH243</f>
        <v>1</v>
      </c>
      <c r="BQ243" s="15"/>
      <c r="BR243" s="15">
        <f t="shared" ref="BR243:BR245" si="1218">BM243+BQ243</f>
        <v>767000</v>
      </c>
      <c r="BT243" s="15"/>
      <c r="BU243" s="15">
        <f>BR243+BT243</f>
        <v>767000</v>
      </c>
      <c r="BW243" s="15"/>
      <c r="BX243" s="15">
        <f>BU243+BW243</f>
        <v>767000</v>
      </c>
      <c r="BZ243" s="15"/>
      <c r="CA243" s="15">
        <f>BX243+BZ243</f>
        <v>767000</v>
      </c>
      <c r="CC243" s="15"/>
      <c r="CD243" s="15">
        <f>CA243+CC243</f>
        <v>767000</v>
      </c>
      <c r="CF243" s="15"/>
      <c r="CG243" s="15">
        <f>CD243+CF243</f>
        <v>767000</v>
      </c>
      <c r="CI243" s="15"/>
      <c r="CJ243" s="15">
        <f>CG243+CI243</f>
        <v>767000</v>
      </c>
      <c r="CM243" s="15">
        <f>CJ243+CL243</f>
        <v>767000</v>
      </c>
      <c r="CP243" s="15">
        <f>CM243+CO243</f>
        <v>767000</v>
      </c>
      <c r="CS243" s="15">
        <f>CP243+CR243</f>
        <v>767000</v>
      </c>
      <c r="CU243" s="227">
        <v>20000</v>
      </c>
      <c r="CV243" s="15">
        <f>CS243+CU243</f>
        <v>787000</v>
      </c>
      <c r="CX243" s="227"/>
      <c r="CY243" s="15">
        <f>CV243+CX243</f>
        <v>787000</v>
      </c>
      <c r="DA243" s="15">
        <v>786269</v>
      </c>
      <c r="DC243" s="15">
        <v>815000</v>
      </c>
      <c r="DE243" s="15"/>
      <c r="DF243" s="15">
        <f t="shared" ref="DF243:DF245" si="1219">DC243+DE243</f>
        <v>815000</v>
      </c>
      <c r="DH243" s="15"/>
      <c r="DI243" s="15">
        <f t="shared" ref="DI243:DI245" si="1220">DF243+DH243</f>
        <v>815000</v>
      </c>
      <c r="DK243" s="15"/>
      <c r="DL243" s="15">
        <f t="shared" ref="DL243:DL245" si="1221">DI243+DK243</f>
        <v>815000</v>
      </c>
      <c r="DN243" s="15"/>
      <c r="DO243" s="15">
        <f t="shared" ref="DO243:DO245" si="1222">DL243+DN243</f>
        <v>815000</v>
      </c>
      <c r="DQ243" s="15"/>
      <c r="DR243" s="15">
        <f t="shared" ref="DR243:DR245" si="1223">DO243+DQ243</f>
        <v>815000</v>
      </c>
      <c r="DT243" s="15"/>
      <c r="DU243" s="15">
        <f t="shared" ref="DU243:DU245" si="1224">DR243+DT243</f>
        <v>815000</v>
      </c>
      <c r="DW243" s="15"/>
      <c r="DX243" s="15">
        <f t="shared" ref="DX243:DX245" si="1225">DU243+DW243</f>
        <v>815000</v>
      </c>
      <c r="DZ243" s="15"/>
      <c r="EA243" s="15">
        <f t="shared" ref="EA243:EA245" si="1226">DX243+DZ243</f>
        <v>815000</v>
      </c>
      <c r="EC243" s="15"/>
      <c r="ED243" s="15">
        <f t="shared" ref="ED243:ED245" si="1227">EA243+EC243</f>
        <v>815000</v>
      </c>
      <c r="EF243" s="15"/>
      <c r="EG243" s="15">
        <f t="shared" ref="EG243:EG245" si="1228">ED243+EF243</f>
        <v>815000</v>
      </c>
      <c r="EI243" s="15">
        <v>814606</v>
      </c>
      <c r="EK243" s="15">
        <v>891500</v>
      </c>
      <c r="EM243" s="15"/>
      <c r="EN243" s="15">
        <f t="shared" ref="EN243:EN245" si="1229">EK243+EM243</f>
        <v>891500</v>
      </c>
      <c r="EP243" s="15"/>
      <c r="EQ243" s="15">
        <f t="shared" ref="EQ243:EQ245" si="1230">EN243+EP243</f>
        <v>891500</v>
      </c>
      <c r="ES243" s="15"/>
      <c r="ET243" s="15">
        <f t="shared" ref="ET243:ET245" si="1231">EQ243+ES243</f>
        <v>891500</v>
      </c>
      <c r="EW243" s="15">
        <f t="shared" ref="EW243:EW245" si="1232">ET243+EV243</f>
        <v>891500</v>
      </c>
      <c r="EZ243" s="15">
        <f t="shared" ref="EZ243:EZ245" si="1233">EW243+EY243</f>
        <v>891500</v>
      </c>
      <c r="FB243" s="227">
        <v>15000</v>
      </c>
      <c r="FC243" s="15">
        <f t="shared" ref="FC243:FC245" si="1234">EZ243+FB243</f>
        <v>906500</v>
      </c>
      <c r="FF243" s="15">
        <f t="shared" ref="FF243:FF245" si="1235">FC243+FE243</f>
        <v>906500</v>
      </c>
      <c r="FI243" s="15">
        <f t="shared" ref="FI243:FI245" si="1236">FF243+FH243</f>
        <v>906500</v>
      </c>
      <c r="FL243" s="15">
        <f t="shared" ref="FL243:FL245" si="1237">FI243+FK243</f>
        <v>906500</v>
      </c>
      <c r="FO243" s="15">
        <f t="shared" ref="FO243:FO245" si="1238">FL243+FN243</f>
        <v>906500</v>
      </c>
      <c r="FR243" s="15">
        <v>906500</v>
      </c>
      <c r="FT243" s="15">
        <v>902029</v>
      </c>
      <c r="FV243" s="15">
        <v>935400</v>
      </c>
      <c r="FW243" s="235">
        <f t="shared" si="1068"/>
        <v>1.0369954846241085</v>
      </c>
      <c r="FZ243" s="15">
        <f>FV243+FY243</f>
        <v>935400</v>
      </c>
      <c r="GB243" s="15"/>
      <c r="GC243" s="15">
        <f>FZ243+GB243</f>
        <v>935400</v>
      </c>
      <c r="GE243" s="15"/>
      <c r="GF243" s="15">
        <f>GC243+GE243</f>
        <v>935400</v>
      </c>
      <c r="GH243" s="15"/>
      <c r="GI243" s="15">
        <f>GF243+GH243</f>
        <v>935400</v>
      </c>
      <c r="GK243" s="15"/>
      <c r="GL243" s="15">
        <f>GI243+GK243</f>
        <v>935400</v>
      </c>
      <c r="GN243" s="15"/>
      <c r="GO243" s="15">
        <f>GL243+GN243</f>
        <v>935400</v>
      </c>
      <c r="GQ243" s="15"/>
      <c r="GR243" s="15">
        <f>GO243+GQ243</f>
        <v>935400</v>
      </c>
      <c r="GT243" s="15"/>
      <c r="GU243" s="15">
        <f>GR243+GT243</f>
        <v>935400</v>
      </c>
      <c r="GW243" s="15"/>
      <c r="GX243" s="15">
        <f>GU243+GW243</f>
        <v>935400</v>
      </c>
      <c r="GZ243" s="15"/>
      <c r="HA243" s="189">
        <f>GX243+GZ243</f>
        <v>935400</v>
      </c>
      <c r="HC243" s="189">
        <v>931727</v>
      </c>
      <c r="HE243" s="15">
        <v>1250000</v>
      </c>
      <c r="HF243" s="235">
        <f t="shared" si="1195"/>
        <v>1.3415946945832846</v>
      </c>
    </row>
    <row r="244" spans="1:214" hidden="1" outlineLevel="1">
      <c r="A244" s="1" t="s">
        <v>215</v>
      </c>
      <c r="B244" s="1" t="s">
        <v>185</v>
      </c>
      <c r="C244" s="4" t="s">
        <v>186</v>
      </c>
      <c r="D244" s="43">
        <v>133000</v>
      </c>
      <c r="E244" s="34">
        <v>89.88</v>
      </c>
      <c r="F244" s="43">
        <v>133000</v>
      </c>
      <c r="G244" s="34">
        <v>89.88</v>
      </c>
      <c r="H244" s="46">
        <v>119545</v>
      </c>
      <c r="I244" s="36">
        <v>140000</v>
      </c>
      <c r="J244" s="14"/>
      <c r="K244" t="s">
        <v>332</v>
      </c>
      <c r="L244" s="118">
        <v>133000</v>
      </c>
      <c r="M244" s="17">
        <f t="shared" si="1196"/>
        <v>0</v>
      </c>
      <c r="N244" s="17">
        <f t="shared" si="1197"/>
        <v>-5.0000000000000044E-2</v>
      </c>
      <c r="Q244" s="118">
        <v>133000</v>
      </c>
      <c r="R244" s="15">
        <v>70702</v>
      </c>
      <c r="S244" s="118">
        <v>140000</v>
      </c>
      <c r="T244" s="15">
        <f>S244-Q244</f>
        <v>7000</v>
      </c>
      <c r="U244" s="16">
        <f t="shared" si="1198"/>
        <v>5.2631578947368363E-2</v>
      </c>
      <c r="Y244" s="118">
        <v>140000</v>
      </c>
      <c r="AA244" s="118">
        <v>142400</v>
      </c>
      <c r="AB244" s="185">
        <f t="shared" si="1207"/>
        <v>2400</v>
      </c>
      <c r="AC244" s="187">
        <f t="shared" si="1208"/>
        <v>2400</v>
      </c>
      <c r="AD244" s="187"/>
      <c r="AE244" s="118">
        <v>142500</v>
      </c>
      <c r="AF244" s="182">
        <f>AE244-AA244</f>
        <v>100</v>
      </c>
      <c r="AH244" s="15">
        <v>142492</v>
      </c>
      <c r="AI244" s="17">
        <f t="shared" si="1199"/>
        <v>0.9999438596491228</v>
      </c>
      <c r="AK244" s="118">
        <v>144000</v>
      </c>
      <c r="AS244" s="15">
        <f t="shared" si="1209"/>
        <v>144000</v>
      </c>
      <c r="AV244" s="15">
        <f t="shared" si="1210"/>
        <v>144000</v>
      </c>
      <c r="AX244" s="15"/>
      <c r="AY244" s="15">
        <f t="shared" si="1211"/>
        <v>144000</v>
      </c>
      <c r="BB244" s="15">
        <f t="shared" si="1212"/>
        <v>144000</v>
      </c>
      <c r="BD244" s="15"/>
      <c r="BE244" s="15">
        <f t="shared" si="1213"/>
        <v>144000</v>
      </c>
      <c r="BG244" s="15"/>
      <c r="BH244" s="15">
        <f t="shared" si="1214"/>
        <v>144000</v>
      </c>
      <c r="BJ244" s="15">
        <v>143580</v>
      </c>
      <c r="BK244" s="235">
        <f t="shared" si="1215"/>
        <v>0.99708333333333332</v>
      </c>
      <c r="BM244" s="15">
        <v>144000</v>
      </c>
      <c r="BN244" s="235">
        <f t="shared" si="1216"/>
        <v>1.0029251984956122</v>
      </c>
      <c r="BO244" s="235">
        <f t="shared" si="1217"/>
        <v>1</v>
      </c>
      <c r="BQ244" s="15"/>
      <c r="BR244" s="15">
        <f t="shared" si="1218"/>
        <v>144000</v>
      </c>
      <c r="BT244" s="15"/>
      <c r="BU244" s="15">
        <f>BR244+BT244</f>
        <v>144000</v>
      </c>
      <c r="BW244" s="15"/>
      <c r="BX244" s="15">
        <f>BU244+BW244</f>
        <v>144000</v>
      </c>
      <c r="BZ244" s="15"/>
      <c r="CA244" s="15">
        <f>BX244+BZ244</f>
        <v>144000</v>
      </c>
      <c r="CC244" s="15"/>
      <c r="CD244" s="15">
        <f>CA244+CC244</f>
        <v>144000</v>
      </c>
      <c r="CF244" s="15"/>
      <c r="CG244" s="15">
        <f>CD244+CF244</f>
        <v>144000</v>
      </c>
      <c r="CI244" s="15"/>
      <c r="CJ244" s="15">
        <f>CG244+CI244</f>
        <v>144000</v>
      </c>
      <c r="CM244" s="15">
        <f>CJ244+CL244</f>
        <v>144000</v>
      </c>
      <c r="CP244" s="15">
        <f>CM244+CO244</f>
        <v>144000</v>
      </c>
      <c r="CS244" s="15">
        <f>CP244+CR244</f>
        <v>144000</v>
      </c>
      <c r="CU244" s="227">
        <v>5000</v>
      </c>
      <c r="CV244" s="15">
        <f>CS244+CU244</f>
        <v>149000</v>
      </c>
      <c r="CX244" s="227"/>
      <c r="CY244" s="15">
        <f>CV244+CX244</f>
        <v>149000</v>
      </c>
      <c r="DA244" s="15">
        <v>148764</v>
      </c>
      <c r="DC244" s="15">
        <v>155000</v>
      </c>
      <c r="DE244" s="15"/>
      <c r="DF244" s="15">
        <f t="shared" si="1219"/>
        <v>155000</v>
      </c>
      <c r="DH244" s="15"/>
      <c r="DI244" s="15">
        <f t="shared" si="1220"/>
        <v>155000</v>
      </c>
      <c r="DK244" s="15"/>
      <c r="DL244" s="15">
        <f t="shared" si="1221"/>
        <v>155000</v>
      </c>
      <c r="DN244" s="15"/>
      <c r="DO244" s="15">
        <f t="shared" si="1222"/>
        <v>155000</v>
      </c>
      <c r="DQ244" s="15"/>
      <c r="DR244" s="15">
        <f t="shared" si="1223"/>
        <v>155000</v>
      </c>
      <c r="DT244" s="15"/>
      <c r="DU244" s="15">
        <f t="shared" si="1224"/>
        <v>155000</v>
      </c>
      <c r="DW244" s="15"/>
      <c r="DX244" s="15">
        <f t="shared" si="1225"/>
        <v>155000</v>
      </c>
      <c r="DZ244" s="15"/>
      <c r="EA244" s="15">
        <f t="shared" si="1226"/>
        <v>155000</v>
      </c>
      <c r="EC244" s="15"/>
      <c r="ED244" s="15">
        <f t="shared" si="1227"/>
        <v>155000</v>
      </c>
      <c r="EF244" s="227">
        <v>2000</v>
      </c>
      <c r="EG244" s="15">
        <f t="shared" si="1228"/>
        <v>157000</v>
      </c>
      <c r="EI244" s="15">
        <v>156737</v>
      </c>
      <c r="EK244" s="15">
        <v>165000</v>
      </c>
      <c r="EM244" s="15"/>
      <c r="EN244" s="15">
        <f t="shared" si="1229"/>
        <v>165000</v>
      </c>
      <c r="EP244" s="15"/>
      <c r="EQ244" s="15">
        <f t="shared" si="1230"/>
        <v>165000</v>
      </c>
      <c r="ES244" s="15"/>
      <c r="ET244" s="15">
        <f t="shared" si="1231"/>
        <v>165000</v>
      </c>
      <c r="EW244" s="15">
        <f t="shared" si="1232"/>
        <v>165000</v>
      </c>
      <c r="EZ244" s="15">
        <f t="shared" si="1233"/>
        <v>165000</v>
      </c>
      <c r="FB244" s="227">
        <v>5000</v>
      </c>
      <c r="FC244" s="15">
        <f t="shared" si="1234"/>
        <v>170000</v>
      </c>
      <c r="FF244" s="15">
        <f t="shared" si="1235"/>
        <v>170000</v>
      </c>
      <c r="FI244" s="15">
        <f t="shared" si="1236"/>
        <v>170000</v>
      </c>
      <c r="FK244" s="227">
        <v>4200</v>
      </c>
      <c r="FL244" s="15">
        <f t="shared" si="1237"/>
        <v>174200</v>
      </c>
      <c r="FO244" s="15">
        <f t="shared" si="1238"/>
        <v>174200</v>
      </c>
      <c r="FR244" s="15">
        <v>174200</v>
      </c>
      <c r="FT244" s="15">
        <v>173631</v>
      </c>
      <c r="FV244" s="15">
        <v>180000</v>
      </c>
      <c r="FW244" s="235">
        <f t="shared" si="1068"/>
        <v>1.036681237797398</v>
      </c>
      <c r="FZ244" s="15">
        <f>FV244+FY244</f>
        <v>180000</v>
      </c>
      <c r="GB244" s="15"/>
      <c r="GC244" s="15">
        <f>FZ244+GB244</f>
        <v>180000</v>
      </c>
      <c r="GE244" s="15"/>
      <c r="GF244" s="15">
        <f>GC244+GE244</f>
        <v>180000</v>
      </c>
      <c r="GH244" s="15"/>
      <c r="GI244" s="15">
        <f>GF244+GH244</f>
        <v>180000</v>
      </c>
      <c r="GK244" s="15"/>
      <c r="GL244" s="15">
        <f>GI244+GK244</f>
        <v>180000</v>
      </c>
      <c r="GN244" s="15"/>
      <c r="GO244" s="15">
        <f>GL244+GN244</f>
        <v>180000</v>
      </c>
      <c r="GQ244" s="227">
        <v>700</v>
      </c>
      <c r="GR244" s="15">
        <f>GO244+GQ244</f>
        <v>180700</v>
      </c>
      <c r="GT244" s="227">
        <v>300</v>
      </c>
      <c r="GU244" s="15">
        <f>GR244+GT244</f>
        <v>181000</v>
      </c>
      <c r="GW244" s="15"/>
      <c r="GX244" s="15">
        <f>GU244+GW244</f>
        <v>181000</v>
      </c>
      <c r="GZ244" s="15"/>
      <c r="HA244" s="189">
        <f>GX244+GZ244</f>
        <v>181000</v>
      </c>
      <c r="HB244" s="444">
        <f>HA244/HA243</f>
        <v>0.19350010690613642</v>
      </c>
      <c r="HC244" s="189">
        <v>181000</v>
      </c>
      <c r="HE244" s="15">
        <v>192000</v>
      </c>
      <c r="HF244" s="235">
        <f t="shared" si="1195"/>
        <v>1.0607734806629834</v>
      </c>
    </row>
    <row r="245" spans="1:214" hidden="1" outlineLevel="1">
      <c r="A245" s="1" t="s">
        <v>215</v>
      </c>
      <c r="B245" s="1" t="s">
        <v>187</v>
      </c>
      <c r="C245" s="4" t="s">
        <v>188</v>
      </c>
      <c r="D245" s="43">
        <v>65000</v>
      </c>
      <c r="E245" s="34">
        <v>89.1</v>
      </c>
      <c r="F245" s="43">
        <v>65000</v>
      </c>
      <c r="G245" s="34">
        <v>89.1</v>
      </c>
      <c r="H245" s="46">
        <v>57917</v>
      </c>
      <c r="I245" s="36">
        <f>H245*I2</f>
        <v>69500.399999999994</v>
      </c>
      <c r="J245" s="14"/>
      <c r="K245" t="s">
        <v>332</v>
      </c>
      <c r="L245" s="118">
        <v>65000</v>
      </c>
      <c r="M245" s="17">
        <f t="shared" si="1196"/>
        <v>0</v>
      </c>
      <c r="N245" s="17">
        <f t="shared" si="1197"/>
        <v>-6.4753584152033583E-2</v>
      </c>
      <c r="Q245" s="118">
        <v>65000</v>
      </c>
      <c r="R245" s="15">
        <v>34099</v>
      </c>
      <c r="S245" s="118">
        <v>69000</v>
      </c>
      <c r="T245" s="15">
        <f>S245-Q245</f>
        <v>4000</v>
      </c>
      <c r="U245" s="16">
        <f t="shared" si="1198"/>
        <v>6.1538461538461542E-2</v>
      </c>
      <c r="Y245" s="118">
        <v>69000</v>
      </c>
      <c r="AA245" s="118">
        <v>69000</v>
      </c>
      <c r="AB245" s="185">
        <f t="shared" si="1207"/>
        <v>0</v>
      </c>
      <c r="AC245" s="187">
        <f t="shared" si="1208"/>
        <v>0</v>
      </c>
      <c r="AD245" s="187"/>
      <c r="AE245" s="118">
        <v>69000</v>
      </c>
      <c r="AF245" s="182"/>
      <c r="AH245" s="15">
        <v>68593</v>
      </c>
      <c r="AI245" s="17">
        <f t="shared" si="1199"/>
        <v>0.99410144927536237</v>
      </c>
      <c r="AK245" s="118">
        <v>69000</v>
      </c>
      <c r="AS245" s="15">
        <f t="shared" si="1209"/>
        <v>69000</v>
      </c>
      <c r="AV245" s="15">
        <f t="shared" si="1210"/>
        <v>69000</v>
      </c>
      <c r="AX245" s="15"/>
      <c r="AY245" s="15">
        <f t="shared" si="1211"/>
        <v>69000</v>
      </c>
      <c r="BB245" s="15">
        <f t="shared" si="1212"/>
        <v>69000</v>
      </c>
      <c r="BD245" s="15"/>
      <c r="BE245" s="15">
        <f t="shared" si="1213"/>
        <v>69000</v>
      </c>
      <c r="BG245" s="15"/>
      <c r="BH245" s="15">
        <f t="shared" si="1214"/>
        <v>69000</v>
      </c>
      <c r="BJ245" s="15">
        <v>68988</v>
      </c>
      <c r="BK245" s="235">
        <f t="shared" si="1215"/>
        <v>0.99982608695652175</v>
      </c>
      <c r="BM245" s="15">
        <v>69000</v>
      </c>
      <c r="BN245" s="235">
        <f t="shared" si="1216"/>
        <v>1.0001739432944861</v>
      </c>
      <c r="BO245" s="235">
        <f t="shared" si="1217"/>
        <v>1</v>
      </c>
      <c r="BQ245" s="15"/>
      <c r="BR245" s="15">
        <f t="shared" si="1218"/>
        <v>69000</v>
      </c>
      <c r="BT245" s="15"/>
      <c r="BU245" s="15">
        <f>BR245+BT245</f>
        <v>69000</v>
      </c>
      <c r="BW245" s="15"/>
      <c r="BX245" s="15">
        <f>BU245+BW245</f>
        <v>69000</v>
      </c>
      <c r="BZ245" s="15"/>
      <c r="CA245" s="15">
        <f>BX245+BZ245</f>
        <v>69000</v>
      </c>
      <c r="CC245" s="15"/>
      <c r="CD245" s="15">
        <f>CA245+CC245</f>
        <v>69000</v>
      </c>
      <c r="CF245" s="15"/>
      <c r="CG245" s="15">
        <f>CD245+CF245</f>
        <v>69000</v>
      </c>
      <c r="CI245" s="15"/>
      <c r="CJ245" s="15">
        <f>CG245+CI245</f>
        <v>69000</v>
      </c>
      <c r="CM245" s="15">
        <f>CJ245+CL245</f>
        <v>69000</v>
      </c>
      <c r="CP245" s="15">
        <f>CM245+CO245</f>
        <v>69000</v>
      </c>
      <c r="CS245" s="15">
        <f>CP245+CR245</f>
        <v>69000</v>
      </c>
      <c r="CU245" s="227">
        <v>2000</v>
      </c>
      <c r="CV245" s="15">
        <f>CS245+CU245</f>
        <v>71000</v>
      </c>
      <c r="CX245" s="227"/>
      <c r="CY245" s="15">
        <f>CV245+CX245</f>
        <v>71000</v>
      </c>
      <c r="DA245" s="15">
        <v>70752</v>
      </c>
      <c r="DC245" s="15">
        <v>75000</v>
      </c>
      <c r="DE245" s="15"/>
      <c r="DF245" s="15">
        <f t="shared" si="1219"/>
        <v>75000</v>
      </c>
      <c r="DH245" s="15"/>
      <c r="DI245" s="15">
        <f t="shared" si="1220"/>
        <v>75000</v>
      </c>
      <c r="DK245" s="15"/>
      <c r="DL245" s="15">
        <f t="shared" si="1221"/>
        <v>75000</v>
      </c>
      <c r="DN245" s="15"/>
      <c r="DO245" s="15">
        <f t="shared" si="1222"/>
        <v>75000</v>
      </c>
      <c r="DQ245" s="15"/>
      <c r="DR245" s="15">
        <f t="shared" si="1223"/>
        <v>75000</v>
      </c>
      <c r="DT245" s="15"/>
      <c r="DU245" s="15">
        <f t="shared" si="1224"/>
        <v>75000</v>
      </c>
      <c r="DW245" s="15"/>
      <c r="DX245" s="15">
        <f t="shared" si="1225"/>
        <v>75000</v>
      </c>
      <c r="DZ245" s="15"/>
      <c r="EA245" s="15">
        <f t="shared" si="1226"/>
        <v>75000</v>
      </c>
      <c r="EC245" s="15"/>
      <c r="ED245" s="15">
        <f t="shared" si="1227"/>
        <v>75000</v>
      </c>
      <c r="EF245" s="227">
        <v>500</v>
      </c>
      <c r="EG245" s="15">
        <f t="shared" si="1228"/>
        <v>75500</v>
      </c>
      <c r="EI245" s="15">
        <v>75034</v>
      </c>
      <c r="EK245" s="15">
        <v>80000</v>
      </c>
      <c r="EM245" s="15"/>
      <c r="EN245" s="15">
        <f t="shared" si="1229"/>
        <v>80000</v>
      </c>
      <c r="EP245" s="15"/>
      <c r="EQ245" s="15">
        <f t="shared" si="1230"/>
        <v>80000</v>
      </c>
      <c r="ES245" s="15"/>
      <c r="ET245" s="15">
        <f t="shared" si="1231"/>
        <v>80000</v>
      </c>
      <c r="EW245" s="15">
        <f t="shared" si="1232"/>
        <v>80000</v>
      </c>
      <c r="EZ245" s="15">
        <f t="shared" si="1233"/>
        <v>80000</v>
      </c>
      <c r="FB245" s="227">
        <v>2000</v>
      </c>
      <c r="FC245" s="15">
        <f t="shared" si="1234"/>
        <v>82000</v>
      </c>
      <c r="FF245" s="15">
        <f t="shared" si="1235"/>
        <v>82000</v>
      </c>
      <c r="FI245" s="15">
        <f t="shared" si="1236"/>
        <v>82000</v>
      </c>
      <c r="FL245" s="15">
        <f t="shared" si="1237"/>
        <v>82000</v>
      </c>
      <c r="FO245" s="15">
        <f t="shared" si="1238"/>
        <v>82000</v>
      </c>
      <c r="FR245" s="15">
        <v>82000</v>
      </c>
      <c r="FT245" s="15">
        <v>81163</v>
      </c>
      <c r="FV245" s="15">
        <v>85000</v>
      </c>
      <c r="FW245" s="235">
        <f t="shared" si="1068"/>
        <v>1.0472752362529725</v>
      </c>
      <c r="FZ245" s="15">
        <f>FV245+FY245</f>
        <v>85000</v>
      </c>
      <c r="GB245" s="15"/>
      <c r="GC245" s="15">
        <f>FZ245+GB245</f>
        <v>85000</v>
      </c>
      <c r="GE245" s="15"/>
      <c r="GF245" s="15">
        <f>GC245+GE245</f>
        <v>85000</v>
      </c>
      <c r="GH245" s="15"/>
      <c r="GI245" s="15">
        <f>GF245+GH245</f>
        <v>85000</v>
      </c>
      <c r="GK245" s="15"/>
      <c r="GL245" s="15">
        <f>GI245+GK245</f>
        <v>85000</v>
      </c>
      <c r="GN245" s="15"/>
      <c r="GO245" s="15">
        <f>GL245+GN245</f>
        <v>85000</v>
      </c>
      <c r="GQ245" s="15"/>
      <c r="GR245" s="15">
        <f>GO245+GQ245</f>
        <v>85000</v>
      </c>
      <c r="GT245" s="15"/>
      <c r="GU245" s="15">
        <f>GR245+GT245</f>
        <v>85000</v>
      </c>
      <c r="GW245" s="15"/>
      <c r="GX245" s="15">
        <f>GU245+GW245</f>
        <v>85000</v>
      </c>
      <c r="GZ245" s="15"/>
      <c r="HA245" s="189">
        <f>GX245+GZ245</f>
        <v>85000</v>
      </c>
      <c r="HB245" s="444">
        <f>HA245/HA243</f>
        <v>9.0870215950395558E-2</v>
      </c>
      <c r="HC245" s="189">
        <v>83838</v>
      </c>
      <c r="HE245" s="15">
        <v>90000</v>
      </c>
      <c r="HF245" s="235">
        <f t="shared" si="1195"/>
        <v>1.0734988907178129</v>
      </c>
    </row>
    <row r="246" spans="1:214" ht="15" hidden="1" customHeight="1" outlineLevel="1">
      <c r="A246" s="1" t="s">
        <v>215</v>
      </c>
      <c r="B246" s="4" t="s">
        <v>46</v>
      </c>
      <c r="C246" s="4" t="s">
        <v>218</v>
      </c>
      <c r="D246" s="43">
        <v>920000</v>
      </c>
      <c r="E246" s="34">
        <v>107.2</v>
      </c>
      <c r="F246" s="43">
        <v>1278000</v>
      </c>
      <c r="G246" s="34">
        <v>77.17</v>
      </c>
      <c r="H246" s="46">
        <v>986230</v>
      </c>
      <c r="I246" s="36"/>
      <c r="J246" s="14"/>
      <c r="Y246" s="118"/>
      <c r="AF246" s="182"/>
      <c r="AH246" s="15"/>
      <c r="AX246" s="15"/>
      <c r="BD246" s="15"/>
      <c r="BG246" s="15"/>
      <c r="BN246" s="235" t="e">
        <f t="shared" si="1216"/>
        <v>#DIV/0!</v>
      </c>
      <c r="BO246" s="235" t="e">
        <f t="shared" si="1217"/>
        <v>#DIV/0!</v>
      </c>
      <c r="DE246" s="15"/>
      <c r="DH246" s="15"/>
      <c r="DK246" s="15"/>
      <c r="DN246" s="15"/>
      <c r="DQ246" s="15"/>
      <c r="DT246" s="15"/>
      <c r="DW246" s="15"/>
      <c r="DZ246" s="15"/>
      <c r="EC246" s="15"/>
      <c r="EF246" s="15"/>
      <c r="EK246" s="15"/>
      <c r="EM246" s="15"/>
      <c r="EP246" s="15"/>
      <c r="ES246" s="15"/>
      <c r="GB246" s="15"/>
      <c r="GE246" s="15"/>
      <c r="GH246" s="15"/>
      <c r="GK246" s="15"/>
      <c r="GN246" s="15"/>
      <c r="GQ246" s="15"/>
      <c r="GT246" s="15"/>
      <c r="GW246" s="15"/>
      <c r="GZ246" s="15"/>
    </row>
    <row r="247" spans="1:214" ht="15" customHeight="1" collapsed="1" thickTop="1" thickBot="1">
      <c r="A247" s="54" t="s">
        <v>215</v>
      </c>
      <c r="B247" s="55" t="s">
        <v>316</v>
      </c>
      <c r="C247" s="283" t="s">
        <v>348</v>
      </c>
      <c r="D247" s="57">
        <f>SUM(D243:D245)</f>
        <v>920000</v>
      </c>
      <c r="E247" s="58"/>
      <c r="F247" s="57">
        <f>SUM(F243:F245)</f>
        <v>1278000</v>
      </c>
      <c r="G247" s="58"/>
      <c r="H247" s="57"/>
      <c r="I247" s="57">
        <f>SUM(I243:I245)</f>
        <v>1137268.3999999999</v>
      </c>
      <c r="J247" s="138" t="e">
        <f>I247/$I$350</f>
        <v>#REF!</v>
      </c>
      <c r="K247" s="60"/>
      <c r="L247" s="122">
        <f>SUM(L243:L245)</f>
        <v>962000.00000000012</v>
      </c>
      <c r="M247" s="61">
        <f>L247/F247-1</f>
        <v>-0.24726134585289505</v>
      </c>
      <c r="N247" s="61">
        <f>L247/I247-1</f>
        <v>-0.1541134880737034</v>
      </c>
      <c r="O247" s="17">
        <f>L247/$L$350</f>
        <v>0.22320186029144987</v>
      </c>
      <c r="P247" s="17"/>
      <c r="Q247" s="122">
        <f>SUM(Q243:Q245)</f>
        <v>962000</v>
      </c>
      <c r="R247" s="122">
        <f>SUM(R243:R245)</f>
        <v>483731</v>
      </c>
      <c r="S247" s="122">
        <f>SUM(S243:S245)</f>
        <v>973000</v>
      </c>
      <c r="T247" s="122">
        <f>SUM(T243:T245)</f>
        <v>11000</v>
      </c>
      <c r="U247" s="155">
        <f>S247/Q247-1</f>
        <v>1.1434511434511352E-2</v>
      </c>
      <c r="Y247" s="122">
        <f>SUM(Y243:Y245)</f>
        <v>973000</v>
      </c>
      <c r="AA247" s="122">
        <f>SUM(AA243:AA245)</f>
        <v>975400</v>
      </c>
      <c r="AB247" s="122">
        <f>SUM(AB243:AB245)</f>
        <v>2400</v>
      </c>
      <c r="AE247" s="122">
        <f>SUM(AE243:AE245)</f>
        <v>975500</v>
      </c>
      <c r="AF247" s="182"/>
      <c r="AH247" s="122">
        <f>SUM(AH243:AH245)</f>
        <v>973331</v>
      </c>
      <c r="AI247" s="17">
        <f t="shared" ref="AI247" si="1239">AH247/AE247</f>
        <v>0.99777652485904667</v>
      </c>
      <c r="AK247" s="122">
        <f>SUM(AK243:AK245)</f>
        <v>977000</v>
      </c>
      <c r="AL247" s="193">
        <f>AK247/L247</f>
        <v>1.0155925155925154</v>
      </c>
      <c r="AM247" s="17">
        <f>AK247/AE247</f>
        <v>1.0015376729882113</v>
      </c>
      <c r="AN247" s="17">
        <f>AK247/AH247</f>
        <v>1.0037695295844888</v>
      </c>
      <c r="AS247" s="122">
        <f>SUM(AS243:AS245)</f>
        <v>977000</v>
      </c>
      <c r="AU247" s="122">
        <f>SUM(AU243:AU245)</f>
        <v>0</v>
      </c>
      <c r="AV247" s="122">
        <f>SUM(AV243:AV245)</f>
        <v>977000</v>
      </c>
      <c r="AX247" s="122">
        <f>SUM(AX243:AX245)</f>
        <v>0</v>
      </c>
      <c r="AY247" s="122">
        <f>SUM(AY243:AY245)</f>
        <v>977000</v>
      </c>
      <c r="BA247" s="122">
        <f>SUM(BA243:BA245)</f>
        <v>0</v>
      </c>
      <c r="BB247" s="122">
        <f>SUM(BB243:BB245)</f>
        <v>977000</v>
      </c>
      <c r="BD247" s="122">
        <f>SUM(BD243:BD245)</f>
        <v>1000</v>
      </c>
      <c r="BE247" s="122">
        <f>SUM(BE243:BE245)</f>
        <v>978000</v>
      </c>
      <c r="BG247" s="122">
        <f>SUM(BG243:BG245)</f>
        <v>2000</v>
      </c>
      <c r="BH247" s="122">
        <f>SUM(BH243:BH245)</f>
        <v>980000</v>
      </c>
      <c r="BJ247" s="122">
        <f>SUM(BJ243:BJ245)</f>
        <v>979200</v>
      </c>
      <c r="BK247" s="236">
        <f t="shared" ref="BK247" si="1240">BJ247/BH247</f>
        <v>0.99918367346938775</v>
      </c>
      <c r="BM247" s="122">
        <f>SUM(BM243:BM245)</f>
        <v>980000</v>
      </c>
      <c r="BN247" s="236">
        <f t="shared" si="1216"/>
        <v>1.0008169934640523</v>
      </c>
      <c r="BO247" s="236">
        <f t="shared" si="1217"/>
        <v>1</v>
      </c>
      <c r="BQ247" s="122">
        <f>SUM(BQ243:BQ245)</f>
        <v>0</v>
      </c>
      <c r="BR247" s="122">
        <f>SUM(BR243:BR245)</f>
        <v>980000</v>
      </c>
      <c r="BT247" s="122">
        <f>SUM(BT243:BT245)</f>
        <v>0</v>
      </c>
      <c r="BU247" s="122">
        <f>SUM(BU243:BU245)</f>
        <v>980000</v>
      </c>
      <c r="BW247" s="122">
        <f>SUM(BW243:BW245)</f>
        <v>0</v>
      </c>
      <c r="BX247" s="122">
        <f>SUM(BX243:BX245)</f>
        <v>980000</v>
      </c>
      <c r="BZ247" s="122">
        <f>SUM(BZ243:BZ245)</f>
        <v>0</v>
      </c>
      <c r="CA247" s="122">
        <f>SUM(CA243:CA245)</f>
        <v>980000</v>
      </c>
      <c r="CC247" s="122">
        <f>SUM(CC243:CC245)</f>
        <v>0</v>
      </c>
      <c r="CD247" s="122">
        <f>SUM(CD243:CD245)</f>
        <v>980000</v>
      </c>
      <c r="CF247" s="122">
        <f>SUM(CF243:CF245)</f>
        <v>0</v>
      </c>
      <c r="CG247" s="122">
        <f>SUM(CG243:CG245)</f>
        <v>980000</v>
      </c>
      <c r="CI247" s="122">
        <f>SUM(CI243:CI245)</f>
        <v>0</v>
      </c>
      <c r="CJ247" s="122">
        <f>SUM(CJ243:CJ245)</f>
        <v>980000</v>
      </c>
      <c r="CL247" s="319">
        <f>SUM(CL243:CL245)</f>
        <v>0</v>
      </c>
      <c r="CM247" s="122">
        <f>SUM(CM243:CM245)</f>
        <v>980000</v>
      </c>
      <c r="CO247" s="122">
        <f>SUM(CO243:CO245)</f>
        <v>0</v>
      </c>
      <c r="CP247" s="122">
        <f>SUM(CP243:CP245)</f>
        <v>980000</v>
      </c>
      <c r="CR247" s="122">
        <f>SUM(CR243:CR245)</f>
        <v>0</v>
      </c>
      <c r="CS247" s="122">
        <f>SUM(CS243:CS245)</f>
        <v>980000</v>
      </c>
      <c r="CU247" s="122">
        <f>SUM(CU243:CU245)</f>
        <v>27000</v>
      </c>
      <c r="CV247" s="122">
        <f>SUM(CV243:CV245)</f>
        <v>1007000</v>
      </c>
      <c r="CX247" s="122">
        <f>SUM(CX243:CX245)</f>
        <v>0</v>
      </c>
      <c r="CY247" s="122">
        <f>SUM(CY243:CY245)</f>
        <v>1007000</v>
      </c>
      <c r="DA247" s="122">
        <f>SUM(DA243:DA245)</f>
        <v>1005785</v>
      </c>
      <c r="DC247" s="122">
        <f>SUM(DC243:DC245)</f>
        <v>1045000</v>
      </c>
      <c r="DE247" s="122">
        <f>SUM(DE243:DE245)</f>
        <v>0</v>
      </c>
      <c r="DF247" s="122">
        <f>SUM(DF243:DF245)</f>
        <v>1045000</v>
      </c>
      <c r="DH247" s="122">
        <f>SUM(DH243:DH245)</f>
        <v>0</v>
      </c>
      <c r="DI247" s="122">
        <f>SUM(DI243:DI245)</f>
        <v>1045000</v>
      </c>
      <c r="DK247" s="122">
        <f>SUM(DK243:DK245)</f>
        <v>0</v>
      </c>
      <c r="DL247" s="122">
        <f>SUM(DL243:DL245)</f>
        <v>1045000</v>
      </c>
      <c r="DN247" s="122">
        <f>SUM(DN243:DN245)</f>
        <v>0</v>
      </c>
      <c r="DO247" s="122">
        <f>SUM(DO243:DO245)</f>
        <v>1045000</v>
      </c>
      <c r="DQ247" s="122">
        <f>SUM(DQ243:DQ245)</f>
        <v>0</v>
      </c>
      <c r="DR247" s="122">
        <f>SUM(DR243:DR245)</f>
        <v>1045000</v>
      </c>
      <c r="DT247" s="122">
        <f>SUM(DT243:DT245)</f>
        <v>0</v>
      </c>
      <c r="DU247" s="122">
        <f>SUM(DU243:DU245)</f>
        <v>1045000</v>
      </c>
      <c r="DW247" s="122">
        <f>SUM(DW243:DW245)</f>
        <v>0</v>
      </c>
      <c r="DX247" s="122">
        <f>SUM(DX243:DX245)</f>
        <v>1045000</v>
      </c>
      <c r="DZ247" s="122">
        <f>SUM(DZ243:DZ245)</f>
        <v>0</v>
      </c>
      <c r="EA247" s="122">
        <f>SUM(EA243:EA245)</f>
        <v>1045000</v>
      </c>
      <c r="EC247" s="122">
        <f>SUM(EC243:EC245)</f>
        <v>0</v>
      </c>
      <c r="ED247" s="122">
        <f>SUM(ED243:ED245)</f>
        <v>1045000</v>
      </c>
      <c r="EF247" s="122">
        <f>SUM(EF243:EF245)</f>
        <v>2500</v>
      </c>
      <c r="EG247" s="122">
        <f>SUM(EG243:EG245)</f>
        <v>1047500</v>
      </c>
      <c r="EI247" s="122">
        <f>SUM(EI243:EI245)</f>
        <v>1046377</v>
      </c>
      <c r="EK247" s="122">
        <f>SUM(EK243:EK245)</f>
        <v>1136500</v>
      </c>
      <c r="EM247" s="122">
        <f>SUM(EM243:EM245)</f>
        <v>0</v>
      </c>
      <c r="EN247" s="122">
        <f>SUM(EN243:EN245)</f>
        <v>1136500</v>
      </c>
      <c r="EP247" s="122">
        <f>SUM(EP243:EP245)</f>
        <v>0</v>
      </c>
      <c r="EQ247" s="122">
        <f>SUM(EQ243:EQ245)</f>
        <v>1136500</v>
      </c>
      <c r="ES247" s="122">
        <f>SUM(ES243:ES245)</f>
        <v>0</v>
      </c>
      <c r="ET247" s="122">
        <f>SUM(ET243:ET245)</f>
        <v>1136500</v>
      </c>
      <c r="EV247" s="122">
        <f>SUM(EV243:EV245)</f>
        <v>0</v>
      </c>
      <c r="EW247" s="122">
        <f>SUM(EW243:EW245)</f>
        <v>1136500</v>
      </c>
      <c r="EY247" s="122">
        <f>SUM(EY243:EY245)</f>
        <v>0</v>
      </c>
      <c r="EZ247" s="122">
        <f>SUM(EZ243:EZ245)</f>
        <v>1136500</v>
      </c>
      <c r="FB247" s="122">
        <f>SUM(FB243:FB245)</f>
        <v>22000</v>
      </c>
      <c r="FC247" s="122">
        <f>SUM(FC243:FC245)</f>
        <v>1158500</v>
      </c>
      <c r="FE247" s="122">
        <f>SUM(FE243:FE245)</f>
        <v>0</v>
      </c>
      <c r="FF247" s="122">
        <f>SUM(FF243:FF245)</f>
        <v>1158500</v>
      </c>
      <c r="FH247" s="122">
        <f>SUM(FH243:FH245)</f>
        <v>0</v>
      </c>
      <c r="FI247" s="122">
        <f>SUM(FI243:FI245)</f>
        <v>1158500</v>
      </c>
      <c r="FK247" s="122">
        <f>SUM(FK243:FK245)</f>
        <v>4200</v>
      </c>
      <c r="FL247" s="122">
        <f>SUM(FL243:FL245)</f>
        <v>1162700</v>
      </c>
      <c r="FN247" s="122">
        <f>SUM(FN243:FN245)</f>
        <v>0</v>
      </c>
      <c r="FO247" s="122">
        <f>SUM(FO243:FO245)</f>
        <v>1162700</v>
      </c>
      <c r="FQ247" s="122">
        <v>0</v>
      </c>
      <c r="FR247" s="122">
        <v>1162700</v>
      </c>
      <c r="FT247" s="122">
        <f>SUM(FT243:FT245)</f>
        <v>1156823</v>
      </c>
      <c r="FV247" s="122">
        <f>SUM(FV243:FV245)</f>
        <v>1200400</v>
      </c>
      <c r="FY247" s="122">
        <f>SUM(FY243:FY245)</f>
        <v>0</v>
      </c>
      <c r="FZ247" s="122">
        <f>SUM(FZ243:FZ245)</f>
        <v>1200400</v>
      </c>
      <c r="GB247" s="122">
        <f>SUM(GB243:GB245)</f>
        <v>0</v>
      </c>
      <c r="GC247" s="122">
        <f>SUM(GC243:GC245)</f>
        <v>1200400</v>
      </c>
      <c r="GE247" s="122">
        <f>SUM(GE243:GE245)</f>
        <v>0</v>
      </c>
      <c r="GF247" s="122">
        <f>SUM(GF243:GF245)</f>
        <v>1200400</v>
      </c>
      <c r="GH247" s="122">
        <f>SUM(GH243:GH245)</f>
        <v>0</v>
      </c>
      <c r="GI247" s="122">
        <f>SUM(GI243:GI245)</f>
        <v>1200400</v>
      </c>
      <c r="GK247" s="122">
        <f>SUM(GK243:GK245)</f>
        <v>0</v>
      </c>
      <c r="GL247" s="122">
        <f>SUM(GL243:GL245)</f>
        <v>1200400</v>
      </c>
      <c r="GN247" s="122">
        <f>SUM(GN243:GN245)</f>
        <v>0</v>
      </c>
      <c r="GO247" s="122">
        <f>SUM(GO243:GO245)</f>
        <v>1200400</v>
      </c>
      <c r="GQ247" s="122">
        <f>SUM(GQ243:GQ245)</f>
        <v>700</v>
      </c>
      <c r="GR247" s="122">
        <f>SUM(GR243:GR245)</f>
        <v>1201100</v>
      </c>
      <c r="GT247" s="122">
        <f>SUM(GT243:GT245)</f>
        <v>300</v>
      </c>
      <c r="GU247" s="122">
        <f>SUM(GU243:GU245)</f>
        <v>1201400</v>
      </c>
      <c r="GW247" s="122">
        <f>SUM(GW243:GW245)</f>
        <v>0</v>
      </c>
      <c r="GX247" s="122">
        <f>SUM(GX243:GX245)</f>
        <v>1201400</v>
      </c>
      <c r="GZ247" s="122">
        <f>SUM(GZ243:GZ245)</f>
        <v>0</v>
      </c>
      <c r="HA247" s="430">
        <f>SUM(HA243:HA245)</f>
        <v>1201400</v>
      </c>
      <c r="HC247" s="122">
        <f>SUM(HC243:HC245)</f>
        <v>1196565</v>
      </c>
      <c r="HE247" s="122">
        <f>SUM(HE243:HE245)</f>
        <v>1532000</v>
      </c>
    </row>
    <row r="248" spans="1:214" s="395" customFormat="1" ht="15.75" outlineLevel="1" thickTop="1">
      <c r="A248" s="389" t="s">
        <v>456</v>
      </c>
      <c r="B248" s="390" t="s">
        <v>142</v>
      </c>
      <c r="C248" s="391" t="s">
        <v>143</v>
      </c>
      <c r="D248" s="392"/>
      <c r="E248" s="393"/>
      <c r="F248" s="392"/>
      <c r="G248" s="393"/>
      <c r="H248" s="392"/>
      <c r="I248" s="392"/>
      <c r="J248" s="394"/>
      <c r="L248" s="396"/>
      <c r="M248" s="39"/>
      <c r="N248" s="39"/>
      <c r="O248" s="480"/>
      <c r="P248" s="151"/>
      <c r="Q248" s="154"/>
      <c r="R248" s="15"/>
      <c r="S248" s="118"/>
      <c r="T248" s="15"/>
      <c r="U248" s="15"/>
      <c r="V248" s="140"/>
      <c r="W248"/>
      <c r="X248"/>
      <c r="Y248"/>
      <c r="Z248"/>
      <c r="AA248" s="118"/>
      <c r="AB248" s="118"/>
      <c r="AC248" s="188"/>
      <c r="AD248" s="188"/>
      <c r="AE248" s="396"/>
      <c r="AF248" s="398"/>
      <c r="AH248" s="399"/>
      <c r="AK248" s="396">
        <v>20000</v>
      </c>
      <c r="AL248" s="15"/>
      <c r="AM248"/>
      <c r="AN248"/>
      <c r="AO248"/>
      <c r="AP248" s="220"/>
      <c r="AQ248"/>
      <c r="AR248"/>
      <c r="AS248" s="15">
        <f t="shared" ref="AS248:AS255" si="1241">AR248+AK248</f>
        <v>20000</v>
      </c>
      <c r="AT248"/>
      <c r="AU248" s="15"/>
      <c r="AV248" s="15">
        <f t="shared" ref="AV248:AV255" si="1242">AS248+AU248</f>
        <v>20000</v>
      </c>
      <c r="AW248"/>
      <c r="AX248" s="15"/>
      <c r="AY248" s="15">
        <f t="shared" ref="AY248:AY255" si="1243">AV248+AX248</f>
        <v>20000</v>
      </c>
      <c r="AZ248"/>
      <c r="BA248" s="15"/>
      <c r="BB248" s="15">
        <f t="shared" ref="BB248:BB255" si="1244">AY248+BA248</f>
        <v>20000</v>
      </c>
      <c r="BC248"/>
      <c r="BD248" s="15">
        <v>4600</v>
      </c>
      <c r="BE248" s="15">
        <f t="shared" ref="BE248:BE255" si="1245">BB248+BD248</f>
        <v>24600</v>
      </c>
      <c r="BG248" s="399"/>
      <c r="BH248" s="399">
        <f t="shared" ref="BH248:BH255" si="1246">BE248+BG248</f>
        <v>24600</v>
      </c>
      <c r="BJ248" s="399">
        <v>14299</v>
      </c>
      <c r="BK248" s="400">
        <f t="shared" ref="BK248:BK255" si="1247">BJ248/BH248</f>
        <v>0.58126016260162605</v>
      </c>
      <c r="BL248" s="401"/>
      <c r="BM248" s="399"/>
      <c r="BN248" s="401"/>
      <c r="BO248" s="401"/>
      <c r="BQ248" s="15"/>
      <c r="BR248" s="15"/>
      <c r="BS248"/>
      <c r="BT248" s="15"/>
      <c r="BU248" s="15"/>
      <c r="BV248"/>
      <c r="BW248" s="15"/>
      <c r="BX248" s="15"/>
      <c r="BY248"/>
      <c r="BZ248" s="15"/>
      <c r="CA248" s="15"/>
      <c r="CB248"/>
      <c r="CC248" s="15"/>
      <c r="CD248" s="15"/>
      <c r="CE248"/>
      <c r="CF248" s="15"/>
      <c r="CG248" s="15"/>
      <c r="CH248"/>
      <c r="CI248" s="15"/>
      <c r="CJ248" s="15"/>
      <c r="CK248"/>
      <c r="CL248" s="15"/>
      <c r="CM248" s="15"/>
      <c r="CN248"/>
      <c r="CO248" s="15"/>
      <c r="CP248" s="15"/>
      <c r="CR248" s="15"/>
      <c r="CS248" s="15"/>
      <c r="CT248"/>
      <c r="CU248" s="15"/>
      <c r="CV248" s="15"/>
      <c r="CW248"/>
      <c r="CX248" s="399"/>
      <c r="CY248" s="399"/>
      <c r="DA248" s="399"/>
      <c r="DC248" s="399"/>
      <c r="DE248" s="15"/>
      <c r="DF248" s="15">
        <f t="shared" ref="DF248:DF255" si="1248">DC248+DE248</f>
        <v>0</v>
      </c>
      <c r="DG248"/>
      <c r="DH248" s="15"/>
      <c r="DI248" s="15">
        <f t="shared" ref="DI248:DI255" si="1249">DF248+DH248</f>
        <v>0</v>
      </c>
      <c r="DJ248"/>
      <c r="DK248" s="15"/>
      <c r="DL248" s="15">
        <f t="shared" ref="DL248:DL255" si="1250">DI248+DK248</f>
        <v>0</v>
      </c>
      <c r="DM248"/>
      <c r="DN248" s="15"/>
      <c r="DO248" s="15">
        <f t="shared" ref="DO248:DO255" si="1251">DL248+DN248</f>
        <v>0</v>
      </c>
      <c r="DP248"/>
      <c r="DQ248" s="15"/>
      <c r="DR248" s="15">
        <f t="shared" ref="DR248:DR255" si="1252">DO248+DQ248</f>
        <v>0</v>
      </c>
      <c r="DS248"/>
      <c r="DT248" s="15"/>
      <c r="DU248" s="15">
        <f t="shared" ref="DU248:DU255" si="1253">DR248+DT248</f>
        <v>0</v>
      </c>
      <c r="DV248"/>
      <c r="DW248" s="15"/>
      <c r="DX248" s="15">
        <f t="shared" ref="DX248:DX255" si="1254">DU248+DW248</f>
        <v>0</v>
      </c>
      <c r="DY248"/>
      <c r="DZ248" s="15"/>
      <c r="EA248" s="15">
        <f t="shared" ref="EA248:EA255" si="1255">DX248+DZ248</f>
        <v>0</v>
      </c>
      <c r="EB248"/>
      <c r="EC248" s="15"/>
      <c r="ED248" s="15">
        <f t="shared" ref="ED248:ED255" si="1256">EA248+EC248</f>
        <v>0</v>
      </c>
      <c r="EF248" s="399"/>
      <c r="EG248" s="399">
        <f t="shared" ref="EG248:EG255" si="1257">ED248+EF248</f>
        <v>0</v>
      </c>
      <c r="EI248" s="399"/>
      <c r="EK248" s="399">
        <v>20000</v>
      </c>
      <c r="EM248" s="399"/>
      <c r="EN248" s="399">
        <f t="shared" ref="EN248:EN255" si="1258">EK248+EM248</f>
        <v>20000</v>
      </c>
      <c r="EP248" s="399"/>
      <c r="EQ248" s="399">
        <f t="shared" ref="EQ248:EQ255" si="1259">EN248+EP248</f>
        <v>20000</v>
      </c>
      <c r="ES248" s="399"/>
      <c r="ET248" s="399">
        <f t="shared" ref="ET248:ET255" si="1260">EQ248+ES248</f>
        <v>20000</v>
      </c>
      <c r="EV248" s="399"/>
      <c r="EW248" s="399">
        <f t="shared" ref="EW248:EW255" si="1261">ET248+EV248</f>
        <v>20000</v>
      </c>
      <c r="EY248" s="399"/>
      <c r="EZ248" s="399">
        <f t="shared" ref="EZ248:EZ255" si="1262">EW248+EY248</f>
        <v>20000</v>
      </c>
      <c r="FB248" s="399"/>
      <c r="FC248" s="399">
        <f t="shared" ref="FC248:FC255" si="1263">EZ248+FB248</f>
        <v>20000</v>
      </c>
      <c r="FE248" s="399"/>
      <c r="FF248" s="399">
        <f t="shared" ref="FF248:FF255" si="1264">FC248+FE248</f>
        <v>20000</v>
      </c>
      <c r="FH248" s="399"/>
      <c r="FI248" s="399">
        <f t="shared" ref="FI248:FI255" si="1265">FF248+FH248</f>
        <v>20000</v>
      </c>
      <c r="FK248" s="227">
        <v>-20000</v>
      </c>
      <c r="FL248" s="399">
        <f t="shared" ref="FL248:FL255" si="1266">FI248+FK248</f>
        <v>0</v>
      </c>
      <c r="FO248" s="399">
        <f t="shared" ref="FO248:FO255" si="1267">FL248+FN248</f>
        <v>0</v>
      </c>
      <c r="FR248" s="399">
        <v>0</v>
      </c>
      <c r="FT248" s="399"/>
      <c r="FV248" s="399">
        <v>20000</v>
      </c>
      <c r="FW248" s="235" t="e">
        <f t="shared" ref="FW248" si="1268">FV248/FT248</f>
        <v>#DIV/0!</v>
      </c>
      <c r="FZ248" s="399">
        <f t="shared" ref="FZ248:FZ255" si="1269">FV248+FY248</f>
        <v>20000</v>
      </c>
      <c r="GC248" s="399">
        <f t="shared" ref="GC248:GC255" si="1270">FZ248+GB248</f>
        <v>20000</v>
      </c>
      <c r="GF248" s="399">
        <f t="shared" ref="GF248:GF255" si="1271">GC248+GE248</f>
        <v>20000</v>
      </c>
      <c r="GI248" s="399">
        <f t="shared" ref="GI248:GI255" si="1272">GF248+GH248</f>
        <v>20000</v>
      </c>
      <c r="GL248" s="399">
        <f t="shared" ref="GL248:GL255" si="1273">GI248+GK248</f>
        <v>20000</v>
      </c>
      <c r="GO248" s="399">
        <f t="shared" ref="GO248:GO255" si="1274">GL248+GN248</f>
        <v>20000</v>
      </c>
      <c r="GQ248" s="399"/>
      <c r="GR248" s="399">
        <f t="shared" ref="GR248:GR255" si="1275">GO248+GQ248</f>
        <v>20000</v>
      </c>
      <c r="GT248" s="399"/>
      <c r="GU248" s="399">
        <f t="shared" ref="GU248:GU255" si="1276">GR248+GT248</f>
        <v>20000</v>
      </c>
      <c r="GW248" s="346">
        <f>10076-GU248</f>
        <v>-9924</v>
      </c>
      <c r="GX248" s="427">
        <f t="shared" ref="GX248:GX255" si="1277">GU248+GW248</f>
        <v>10076</v>
      </c>
      <c r="GZ248" s="399"/>
      <c r="HA248" s="427">
        <f t="shared" ref="HA248:HA255" si="1278">GX248+GZ248</f>
        <v>10076</v>
      </c>
      <c r="HC248" s="427">
        <v>10076</v>
      </c>
      <c r="HE248" s="399"/>
      <c r="HF248" s="235">
        <f>HE248/HC248</f>
        <v>0</v>
      </c>
    </row>
    <row r="249" spans="1:214" s="395" customFormat="1" outlineLevel="1">
      <c r="A249" s="389" t="s">
        <v>456</v>
      </c>
      <c r="B249" s="390" t="s">
        <v>189</v>
      </c>
      <c r="C249" s="391" t="s">
        <v>190</v>
      </c>
      <c r="D249" s="392"/>
      <c r="E249" s="393"/>
      <c r="F249" s="392"/>
      <c r="G249" s="393"/>
      <c r="H249" s="392"/>
      <c r="I249" s="392"/>
      <c r="J249" s="394"/>
      <c r="L249" s="396"/>
      <c r="M249" s="39"/>
      <c r="N249" s="39"/>
      <c r="O249" s="480"/>
      <c r="P249" s="151"/>
      <c r="Q249" s="154"/>
      <c r="R249" s="15"/>
      <c r="S249" s="118"/>
      <c r="T249" s="15"/>
      <c r="U249" s="15"/>
      <c r="V249" s="140"/>
      <c r="W249"/>
      <c r="X249"/>
      <c r="Y249"/>
      <c r="Z249"/>
      <c r="AA249" s="118"/>
      <c r="AB249" s="118"/>
      <c r="AC249" s="188"/>
      <c r="AD249" s="188"/>
      <c r="AE249" s="396"/>
      <c r="AF249" s="398"/>
      <c r="AH249" s="399"/>
      <c r="AK249" s="396">
        <v>1000</v>
      </c>
      <c r="AL249" s="15"/>
      <c r="AM249"/>
      <c r="AN249"/>
      <c r="AO249"/>
      <c r="AP249" s="220"/>
      <c r="AQ249"/>
      <c r="AR249"/>
      <c r="AS249" s="15">
        <f t="shared" si="1241"/>
        <v>1000</v>
      </c>
      <c r="AT249"/>
      <c r="AU249" s="15"/>
      <c r="AV249" s="15">
        <f t="shared" si="1242"/>
        <v>1000</v>
      </c>
      <c r="AW249"/>
      <c r="AX249" s="15"/>
      <c r="AY249" s="15">
        <f t="shared" si="1243"/>
        <v>1000</v>
      </c>
      <c r="AZ249"/>
      <c r="BA249" s="15"/>
      <c r="BB249" s="15">
        <f t="shared" si="1244"/>
        <v>1000</v>
      </c>
      <c r="BC249"/>
      <c r="BD249" s="15"/>
      <c r="BE249" s="15">
        <f t="shared" si="1245"/>
        <v>1000</v>
      </c>
      <c r="BG249" s="399"/>
      <c r="BH249" s="399">
        <f t="shared" si="1246"/>
        <v>1000</v>
      </c>
      <c r="BJ249" s="399">
        <v>525</v>
      </c>
      <c r="BK249" s="400">
        <f t="shared" si="1247"/>
        <v>0.52500000000000002</v>
      </c>
      <c r="BL249" s="401"/>
      <c r="BM249" s="399"/>
      <c r="BN249" s="401"/>
      <c r="BO249" s="401"/>
      <c r="BQ249" s="15"/>
      <c r="BR249" s="15"/>
      <c r="BS249"/>
      <c r="BT249" s="15"/>
      <c r="BU249" s="15"/>
      <c r="BV249"/>
      <c r="BW249" s="15"/>
      <c r="BX249" s="15"/>
      <c r="BY249"/>
      <c r="BZ249" s="15"/>
      <c r="CA249" s="15"/>
      <c r="CB249"/>
      <c r="CC249" s="15"/>
      <c r="CD249" s="15"/>
      <c r="CE249"/>
      <c r="CF249" s="15"/>
      <c r="CG249" s="15"/>
      <c r="CH249"/>
      <c r="CI249" s="15"/>
      <c r="CJ249" s="15"/>
      <c r="CK249"/>
      <c r="CL249" s="15"/>
      <c r="CM249" s="15"/>
      <c r="CN249"/>
      <c r="CO249" s="15"/>
      <c r="CP249" s="15"/>
      <c r="CR249" s="15"/>
      <c r="CS249" s="15"/>
      <c r="CT249"/>
      <c r="CU249" s="15"/>
      <c r="CV249" s="15"/>
      <c r="CW249"/>
      <c r="CX249" s="399"/>
      <c r="CY249" s="399"/>
      <c r="DA249" s="399"/>
      <c r="DC249" s="399"/>
      <c r="DE249" s="15"/>
      <c r="DF249" s="15">
        <f t="shared" si="1248"/>
        <v>0</v>
      </c>
      <c r="DG249"/>
      <c r="DH249" s="15"/>
      <c r="DI249" s="15">
        <f t="shared" si="1249"/>
        <v>0</v>
      </c>
      <c r="DJ249"/>
      <c r="DK249" s="15"/>
      <c r="DL249" s="15">
        <f t="shared" si="1250"/>
        <v>0</v>
      </c>
      <c r="DM249"/>
      <c r="DN249" s="15"/>
      <c r="DO249" s="15">
        <f t="shared" si="1251"/>
        <v>0</v>
      </c>
      <c r="DP249"/>
      <c r="DQ249" s="15"/>
      <c r="DR249" s="15">
        <f t="shared" si="1252"/>
        <v>0</v>
      </c>
      <c r="DS249"/>
      <c r="DT249" s="15"/>
      <c r="DU249" s="15">
        <f t="shared" si="1253"/>
        <v>0</v>
      </c>
      <c r="DV249"/>
      <c r="DW249" s="15"/>
      <c r="DX249" s="15">
        <f t="shared" si="1254"/>
        <v>0</v>
      </c>
      <c r="DY249"/>
      <c r="DZ249" s="15"/>
      <c r="EA249" s="15">
        <f t="shared" si="1255"/>
        <v>0</v>
      </c>
      <c r="EB249"/>
      <c r="EC249" s="15"/>
      <c r="ED249" s="15">
        <f t="shared" si="1256"/>
        <v>0</v>
      </c>
      <c r="EF249" s="399"/>
      <c r="EG249" s="399">
        <f t="shared" si="1257"/>
        <v>0</v>
      </c>
      <c r="EI249" s="399"/>
      <c r="EK249" s="399"/>
      <c r="EM249" s="399"/>
      <c r="EN249" s="399">
        <f t="shared" si="1258"/>
        <v>0</v>
      </c>
      <c r="EP249" s="399"/>
      <c r="EQ249" s="399">
        <f t="shared" si="1259"/>
        <v>0</v>
      </c>
      <c r="ES249" s="399"/>
      <c r="ET249" s="399">
        <f t="shared" si="1260"/>
        <v>0</v>
      </c>
      <c r="EV249" s="399"/>
      <c r="EW249" s="399">
        <f t="shared" si="1261"/>
        <v>0</v>
      </c>
      <c r="EY249" s="399"/>
      <c r="EZ249" s="399">
        <f t="shared" si="1262"/>
        <v>0</v>
      </c>
      <c r="FB249" s="399"/>
      <c r="FC249" s="399">
        <f t="shared" si="1263"/>
        <v>0</v>
      </c>
      <c r="FE249" s="399"/>
      <c r="FF249" s="399">
        <f t="shared" si="1264"/>
        <v>0</v>
      </c>
      <c r="FH249" s="399"/>
      <c r="FI249" s="399">
        <f t="shared" si="1265"/>
        <v>0</v>
      </c>
      <c r="FK249" s="399"/>
      <c r="FL249" s="399">
        <f t="shared" si="1266"/>
        <v>0</v>
      </c>
      <c r="FO249" s="399">
        <f t="shared" si="1267"/>
        <v>0</v>
      </c>
      <c r="FR249" s="399">
        <v>0</v>
      </c>
      <c r="FT249" s="399"/>
      <c r="FV249" s="399"/>
      <c r="FZ249" s="399">
        <f t="shared" si="1269"/>
        <v>0</v>
      </c>
      <c r="GC249" s="399">
        <f t="shared" si="1270"/>
        <v>0</v>
      </c>
      <c r="GF249" s="399">
        <f t="shared" si="1271"/>
        <v>0</v>
      </c>
      <c r="GI249" s="399">
        <f t="shared" si="1272"/>
        <v>0</v>
      </c>
      <c r="GL249" s="399">
        <f t="shared" si="1273"/>
        <v>0</v>
      </c>
      <c r="GO249" s="399">
        <f t="shared" si="1274"/>
        <v>0</v>
      </c>
      <c r="GQ249" s="399"/>
      <c r="GR249" s="399">
        <f t="shared" si="1275"/>
        <v>0</v>
      </c>
      <c r="GT249" s="399"/>
      <c r="GU249" s="399">
        <f t="shared" si="1276"/>
        <v>0</v>
      </c>
      <c r="GW249" s="399"/>
      <c r="GX249" s="427">
        <f t="shared" si="1277"/>
        <v>0</v>
      </c>
      <c r="GZ249" s="399"/>
      <c r="HA249" s="427">
        <f t="shared" si="1278"/>
        <v>0</v>
      </c>
      <c r="HC249" s="427"/>
      <c r="HE249" s="399"/>
    </row>
    <row r="250" spans="1:214" s="395" customFormat="1" outlineLevel="1">
      <c r="A250" s="389" t="s">
        <v>456</v>
      </c>
      <c r="B250" s="390" t="s">
        <v>225</v>
      </c>
      <c r="C250" s="391" t="s">
        <v>226</v>
      </c>
      <c r="D250" s="392"/>
      <c r="E250" s="393"/>
      <c r="F250" s="392"/>
      <c r="G250" s="393"/>
      <c r="H250" s="392"/>
      <c r="I250" s="392"/>
      <c r="J250" s="394"/>
      <c r="L250" s="396"/>
      <c r="M250" s="39"/>
      <c r="N250" s="39"/>
      <c r="O250" s="480"/>
      <c r="P250" s="151"/>
      <c r="Q250" s="154"/>
      <c r="R250" s="15"/>
      <c r="S250" s="118"/>
      <c r="T250" s="15"/>
      <c r="U250" s="15"/>
      <c r="V250" s="140"/>
      <c r="W250"/>
      <c r="X250"/>
      <c r="Y250"/>
      <c r="Z250"/>
      <c r="AA250" s="118"/>
      <c r="AB250" s="118"/>
      <c r="AC250" s="188"/>
      <c r="AD250" s="188"/>
      <c r="AE250" s="396"/>
      <c r="AF250" s="398"/>
      <c r="AH250" s="399"/>
      <c r="AK250" s="396">
        <v>1000</v>
      </c>
      <c r="AL250" s="15"/>
      <c r="AM250"/>
      <c r="AN250"/>
      <c r="AO250"/>
      <c r="AP250" s="220"/>
      <c r="AQ250"/>
      <c r="AR250"/>
      <c r="AS250" s="15">
        <f t="shared" si="1241"/>
        <v>1000</v>
      </c>
      <c r="AT250"/>
      <c r="AU250" s="15"/>
      <c r="AV250" s="15">
        <f t="shared" si="1242"/>
        <v>1000</v>
      </c>
      <c r="AW250"/>
      <c r="AX250" s="15"/>
      <c r="AY250" s="15">
        <f t="shared" si="1243"/>
        <v>1000</v>
      </c>
      <c r="AZ250"/>
      <c r="BA250" s="15"/>
      <c r="BB250" s="15">
        <f t="shared" si="1244"/>
        <v>1000</v>
      </c>
      <c r="BC250"/>
      <c r="BD250" s="15"/>
      <c r="BE250" s="15">
        <f t="shared" si="1245"/>
        <v>1000</v>
      </c>
      <c r="BG250" s="399"/>
      <c r="BH250" s="399">
        <f t="shared" si="1246"/>
        <v>1000</v>
      </c>
      <c r="BJ250" s="399">
        <v>408</v>
      </c>
      <c r="BK250" s="400">
        <f t="shared" si="1247"/>
        <v>0.40799999999999997</v>
      </c>
      <c r="BL250" s="401"/>
      <c r="BM250" s="399"/>
      <c r="BN250" s="401"/>
      <c r="BO250" s="401"/>
      <c r="BQ250" s="15"/>
      <c r="BR250" s="15"/>
      <c r="BS250"/>
      <c r="BT250" s="15"/>
      <c r="BU250" s="15"/>
      <c r="BV250"/>
      <c r="BW250" s="15"/>
      <c r="BX250" s="15"/>
      <c r="BY250"/>
      <c r="BZ250" s="15"/>
      <c r="CA250" s="15"/>
      <c r="CB250"/>
      <c r="CC250" s="15"/>
      <c r="CD250" s="15"/>
      <c r="CE250"/>
      <c r="CF250" s="15"/>
      <c r="CG250" s="15"/>
      <c r="CH250"/>
      <c r="CI250" s="15"/>
      <c r="CJ250" s="15"/>
      <c r="CK250"/>
      <c r="CL250" s="15"/>
      <c r="CM250" s="15"/>
      <c r="CN250"/>
      <c r="CO250" s="15"/>
      <c r="CP250" s="15"/>
      <c r="CR250" s="15"/>
      <c r="CS250" s="15"/>
      <c r="CT250"/>
      <c r="CU250" s="15"/>
      <c r="CV250" s="15"/>
      <c r="CW250"/>
      <c r="CX250" s="399"/>
      <c r="CY250" s="399"/>
      <c r="DA250" s="399"/>
      <c r="DC250" s="399"/>
      <c r="DE250" s="15"/>
      <c r="DF250" s="15">
        <f t="shared" si="1248"/>
        <v>0</v>
      </c>
      <c r="DG250"/>
      <c r="DH250" s="15"/>
      <c r="DI250" s="15">
        <f t="shared" si="1249"/>
        <v>0</v>
      </c>
      <c r="DJ250"/>
      <c r="DK250" s="15"/>
      <c r="DL250" s="15">
        <f t="shared" si="1250"/>
        <v>0</v>
      </c>
      <c r="DM250"/>
      <c r="DN250" s="15"/>
      <c r="DO250" s="15">
        <f t="shared" si="1251"/>
        <v>0</v>
      </c>
      <c r="DP250"/>
      <c r="DQ250" s="15"/>
      <c r="DR250" s="15">
        <f t="shared" si="1252"/>
        <v>0</v>
      </c>
      <c r="DS250"/>
      <c r="DT250" s="15"/>
      <c r="DU250" s="15">
        <f t="shared" si="1253"/>
        <v>0</v>
      </c>
      <c r="DV250"/>
      <c r="DW250" s="15"/>
      <c r="DX250" s="15">
        <f t="shared" si="1254"/>
        <v>0</v>
      </c>
      <c r="DY250"/>
      <c r="DZ250" s="15"/>
      <c r="EA250" s="15">
        <f t="shared" si="1255"/>
        <v>0</v>
      </c>
      <c r="EB250"/>
      <c r="EC250" s="15"/>
      <c r="ED250" s="15">
        <f t="shared" si="1256"/>
        <v>0</v>
      </c>
      <c r="EF250" s="399"/>
      <c r="EG250" s="399">
        <f t="shared" si="1257"/>
        <v>0</v>
      </c>
      <c r="EI250" s="399"/>
      <c r="EK250" s="399"/>
      <c r="EM250" s="399"/>
      <c r="EN250" s="399">
        <f t="shared" si="1258"/>
        <v>0</v>
      </c>
      <c r="EP250" s="399"/>
      <c r="EQ250" s="399">
        <f t="shared" si="1259"/>
        <v>0</v>
      </c>
      <c r="ES250" s="399"/>
      <c r="ET250" s="399">
        <f t="shared" si="1260"/>
        <v>0</v>
      </c>
      <c r="EV250" s="399"/>
      <c r="EW250" s="399">
        <f t="shared" si="1261"/>
        <v>0</v>
      </c>
      <c r="EY250" s="399"/>
      <c r="EZ250" s="399">
        <f t="shared" si="1262"/>
        <v>0</v>
      </c>
      <c r="FB250" s="399"/>
      <c r="FC250" s="399">
        <f t="shared" si="1263"/>
        <v>0</v>
      </c>
      <c r="FE250" s="399"/>
      <c r="FF250" s="399">
        <f t="shared" si="1264"/>
        <v>0</v>
      </c>
      <c r="FH250" s="399"/>
      <c r="FI250" s="399">
        <f t="shared" si="1265"/>
        <v>0</v>
      </c>
      <c r="FK250" s="399"/>
      <c r="FL250" s="399">
        <f t="shared" si="1266"/>
        <v>0</v>
      </c>
      <c r="FO250" s="399">
        <f t="shared" si="1267"/>
        <v>0</v>
      </c>
      <c r="FR250" s="399">
        <v>0</v>
      </c>
      <c r="FT250" s="399"/>
      <c r="FV250" s="399"/>
      <c r="FZ250" s="399">
        <f t="shared" si="1269"/>
        <v>0</v>
      </c>
      <c r="GC250" s="399">
        <f t="shared" si="1270"/>
        <v>0</v>
      </c>
      <c r="GF250" s="399">
        <f t="shared" si="1271"/>
        <v>0</v>
      </c>
      <c r="GI250" s="399">
        <f t="shared" si="1272"/>
        <v>0</v>
      </c>
      <c r="GL250" s="399">
        <f t="shared" si="1273"/>
        <v>0</v>
      </c>
      <c r="GO250" s="399">
        <f t="shared" si="1274"/>
        <v>0</v>
      </c>
      <c r="GQ250" s="399"/>
      <c r="GR250" s="399">
        <f t="shared" si="1275"/>
        <v>0</v>
      </c>
      <c r="GT250" s="399"/>
      <c r="GU250" s="399">
        <f t="shared" si="1276"/>
        <v>0</v>
      </c>
      <c r="GW250" s="399"/>
      <c r="GX250" s="427">
        <f t="shared" si="1277"/>
        <v>0</v>
      </c>
      <c r="GZ250" s="399"/>
      <c r="HA250" s="427">
        <f t="shared" si="1278"/>
        <v>0</v>
      </c>
      <c r="HC250" s="427"/>
      <c r="HE250" s="399"/>
    </row>
    <row r="251" spans="1:214" s="395" customFormat="1" outlineLevel="1">
      <c r="A251" s="389" t="s">
        <v>456</v>
      </c>
      <c r="B251" s="390" t="s">
        <v>146</v>
      </c>
      <c r="C251" s="391" t="s">
        <v>147</v>
      </c>
      <c r="D251" s="392"/>
      <c r="E251" s="393"/>
      <c r="F251" s="392"/>
      <c r="G251" s="393"/>
      <c r="H251" s="392"/>
      <c r="I251" s="392"/>
      <c r="J251" s="394"/>
      <c r="L251" s="396"/>
      <c r="M251" s="39"/>
      <c r="N251" s="39"/>
      <c r="O251" s="480"/>
      <c r="P251" s="151"/>
      <c r="Q251" s="154"/>
      <c r="R251" s="15"/>
      <c r="S251" s="118"/>
      <c r="T251" s="15"/>
      <c r="U251" s="15"/>
      <c r="V251" s="140"/>
      <c r="W251"/>
      <c r="X251"/>
      <c r="Y251"/>
      <c r="Z251"/>
      <c r="AA251" s="118"/>
      <c r="AB251" s="118"/>
      <c r="AC251" s="188"/>
      <c r="AD251" s="188"/>
      <c r="AE251" s="396"/>
      <c r="AF251" s="398"/>
      <c r="AH251" s="399"/>
      <c r="AK251" s="396">
        <v>1200</v>
      </c>
      <c r="AL251" s="15"/>
      <c r="AM251"/>
      <c r="AN251"/>
      <c r="AO251"/>
      <c r="AP251" s="220"/>
      <c r="AQ251"/>
      <c r="AR251"/>
      <c r="AS251" s="15">
        <f t="shared" si="1241"/>
        <v>1200</v>
      </c>
      <c r="AT251"/>
      <c r="AU251" s="15"/>
      <c r="AV251" s="15">
        <f t="shared" si="1242"/>
        <v>1200</v>
      </c>
      <c r="AW251"/>
      <c r="AX251" s="15"/>
      <c r="AY251" s="15">
        <f t="shared" si="1243"/>
        <v>1200</v>
      </c>
      <c r="AZ251"/>
      <c r="BA251" s="15"/>
      <c r="BB251" s="15">
        <f t="shared" si="1244"/>
        <v>1200</v>
      </c>
      <c r="BC251"/>
      <c r="BD251" s="15"/>
      <c r="BE251" s="15">
        <f t="shared" si="1245"/>
        <v>1200</v>
      </c>
      <c r="BG251" s="399"/>
      <c r="BH251" s="399">
        <f t="shared" si="1246"/>
        <v>1200</v>
      </c>
      <c r="BJ251" s="399">
        <v>0</v>
      </c>
      <c r="BK251" s="400">
        <f t="shared" si="1247"/>
        <v>0</v>
      </c>
      <c r="BL251" s="401"/>
      <c r="BM251" s="399"/>
      <c r="BN251" s="401"/>
      <c r="BO251" s="401"/>
      <c r="BQ251" s="15"/>
      <c r="BR251" s="15"/>
      <c r="BS251"/>
      <c r="BT251" s="15"/>
      <c r="BU251" s="15"/>
      <c r="BV251"/>
      <c r="BW251" s="15"/>
      <c r="BX251" s="15"/>
      <c r="BY251"/>
      <c r="BZ251" s="15"/>
      <c r="CA251" s="15"/>
      <c r="CB251"/>
      <c r="CC251" s="15"/>
      <c r="CD251" s="15"/>
      <c r="CE251"/>
      <c r="CF251" s="15"/>
      <c r="CG251" s="15"/>
      <c r="CH251"/>
      <c r="CI251" s="15"/>
      <c r="CJ251" s="15"/>
      <c r="CK251"/>
      <c r="CL251" s="15"/>
      <c r="CM251" s="15"/>
      <c r="CN251"/>
      <c r="CO251" s="15"/>
      <c r="CP251" s="15"/>
      <c r="CR251" s="15"/>
      <c r="CS251" s="15"/>
      <c r="CT251"/>
      <c r="CU251" s="15"/>
      <c r="CV251" s="15"/>
      <c r="CW251"/>
      <c r="CX251" s="399"/>
      <c r="CY251" s="399"/>
      <c r="DA251" s="399"/>
      <c r="DC251" s="399"/>
      <c r="DE251" s="15"/>
      <c r="DF251" s="15">
        <f t="shared" si="1248"/>
        <v>0</v>
      </c>
      <c r="DG251"/>
      <c r="DH251" s="15"/>
      <c r="DI251" s="15">
        <f t="shared" si="1249"/>
        <v>0</v>
      </c>
      <c r="DJ251"/>
      <c r="DK251" s="15"/>
      <c r="DL251" s="15">
        <f t="shared" si="1250"/>
        <v>0</v>
      </c>
      <c r="DM251"/>
      <c r="DN251" s="15"/>
      <c r="DO251" s="15">
        <f t="shared" si="1251"/>
        <v>0</v>
      </c>
      <c r="DP251"/>
      <c r="DQ251" s="15"/>
      <c r="DR251" s="15">
        <f t="shared" si="1252"/>
        <v>0</v>
      </c>
      <c r="DS251"/>
      <c r="DT251" s="15"/>
      <c r="DU251" s="15">
        <f t="shared" si="1253"/>
        <v>0</v>
      </c>
      <c r="DV251"/>
      <c r="DW251" s="15"/>
      <c r="DX251" s="15">
        <f t="shared" si="1254"/>
        <v>0</v>
      </c>
      <c r="DY251"/>
      <c r="DZ251" s="15"/>
      <c r="EA251" s="15">
        <f t="shared" si="1255"/>
        <v>0</v>
      </c>
      <c r="EB251"/>
      <c r="EC251" s="15"/>
      <c r="ED251" s="15">
        <f t="shared" si="1256"/>
        <v>0</v>
      </c>
      <c r="EF251" s="399"/>
      <c r="EG251" s="399">
        <f t="shared" si="1257"/>
        <v>0</v>
      </c>
      <c r="EI251" s="399"/>
      <c r="EK251" s="399"/>
      <c r="EM251" s="399"/>
      <c r="EN251" s="399">
        <f t="shared" si="1258"/>
        <v>0</v>
      </c>
      <c r="EP251" s="399"/>
      <c r="EQ251" s="399">
        <f t="shared" si="1259"/>
        <v>0</v>
      </c>
      <c r="ES251" s="399"/>
      <c r="ET251" s="399">
        <f t="shared" si="1260"/>
        <v>0</v>
      </c>
      <c r="EV251" s="399"/>
      <c r="EW251" s="399">
        <f t="shared" si="1261"/>
        <v>0</v>
      </c>
      <c r="EY251" s="399"/>
      <c r="EZ251" s="399">
        <f t="shared" si="1262"/>
        <v>0</v>
      </c>
      <c r="FB251" s="399"/>
      <c r="FC251" s="399">
        <f t="shared" si="1263"/>
        <v>0</v>
      </c>
      <c r="FE251" s="399"/>
      <c r="FF251" s="399">
        <f t="shared" si="1264"/>
        <v>0</v>
      </c>
      <c r="FH251" s="399"/>
      <c r="FI251" s="399">
        <f t="shared" si="1265"/>
        <v>0</v>
      </c>
      <c r="FK251" s="399"/>
      <c r="FL251" s="399">
        <f t="shared" si="1266"/>
        <v>0</v>
      </c>
      <c r="FO251" s="399">
        <f t="shared" si="1267"/>
        <v>0</v>
      </c>
      <c r="FR251" s="399">
        <v>0</v>
      </c>
      <c r="FT251" s="399"/>
      <c r="FV251" s="399"/>
      <c r="FZ251" s="399">
        <f t="shared" si="1269"/>
        <v>0</v>
      </c>
      <c r="GC251" s="399">
        <f t="shared" si="1270"/>
        <v>0</v>
      </c>
      <c r="GF251" s="399">
        <f t="shared" si="1271"/>
        <v>0</v>
      </c>
      <c r="GI251" s="399">
        <f t="shared" si="1272"/>
        <v>0</v>
      </c>
      <c r="GL251" s="399">
        <f t="shared" si="1273"/>
        <v>0</v>
      </c>
      <c r="GO251" s="399">
        <f t="shared" si="1274"/>
        <v>0</v>
      </c>
      <c r="GQ251" s="227">
        <v>2000</v>
      </c>
      <c r="GR251" s="399">
        <f t="shared" si="1275"/>
        <v>2000</v>
      </c>
      <c r="GT251" s="227">
        <v>200</v>
      </c>
      <c r="GU251" s="399">
        <f t="shared" si="1276"/>
        <v>2200</v>
      </c>
      <c r="GW251" s="399"/>
      <c r="GX251" s="427">
        <f t="shared" si="1277"/>
        <v>2200</v>
      </c>
      <c r="GZ251" s="399"/>
      <c r="HA251" s="427">
        <f t="shared" si="1278"/>
        <v>2200</v>
      </c>
      <c r="HC251" s="427">
        <v>2200</v>
      </c>
      <c r="HE251" s="399"/>
    </row>
    <row r="252" spans="1:214" s="395" customFormat="1" outlineLevel="1">
      <c r="A252" s="389" t="s">
        <v>456</v>
      </c>
      <c r="B252" s="390" t="s">
        <v>220</v>
      </c>
      <c r="C252" s="391" t="s">
        <v>221</v>
      </c>
      <c r="D252" s="392"/>
      <c r="E252" s="393"/>
      <c r="F252" s="392"/>
      <c r="G252" s="393"/>
      <c r="H252" s="392"/>
      <c r="I252" s="392"/>
      <c r="J252" s="394"/>
      <c r="L252" s="396"/>
      <c r="M252" s="39"/>
      <c r="N252" s="39"/>
      <c r="O252" s="480"/>
      <c r="P252" s="151"/>
      <c r="Q252" s="154"/>
      <c r="R252" s="15"/>
      <c r="S252" s="118"/>
      <c r="T252" s="15"/>
      <c r="U252" s="15"/>
      <c r="V252" s="140"/>
      <c r="W252"/>
      <c r="X252"/>
      <c r="Y252"/>
      <c r="Z252"/>
      <c r="AA252" s="118"/>
      <c r="AB252" s="118"/>
      <c r="AC252" s="188"/>
      <c r="AD252" s="188"/>
      <c r="AE252" s="396"/>
      <c r="AF252" s="398"/>
      <c r="AH252" s="399"/>
      <c r="AK252" s="396">
        <v>200</v>
      </c>
      <c r="AL252" s="15"/>
      <c r="AM252"/>
      <c r="AN252"/>
      <c r="AO252"/>
      <c r="AP252" s="220"/>
      <c r="AQ252"/>
      <c r="AR252"/>
      <c r="AS252" s="15">
        <f t="shared" si="1241"/>
        <v>200</v>
      </c>
      <c r="AT252"/>
      <c r="AU252" s="15"/>
      <c r="AV252" s="15">
        <f t="shared" si="1242"/>
        <v>200</v>
      </c>
      <c r="AW252"/>
      <c r="AX252" s="15"/>
      <c r="AY252" s="15">
        <f t="shared" si="1243"/>
        <v>200</v>
      </c>
      <c r="AZ252"/>
      <c r="BA252" s="15"/>
      <c r="BB252" s="15">
        <f t="shared" si="1244"/>
        <v>200</v>
      </c>
      <c r="BC252"/>
      <c r="BD252" s="15"/>
      <c r="BE252" s="15">
        <f t="shared" si="1245"/>
        <v>200</v>
      </c>
      <c r="BG252" s="399"/>
      <c r="BH252" s="399">
        <f t="shared" si="1246"/>
        <v>200</v>
      </c>
      <c r="BJ252" s="399">
        <v>0</v>
      </c>
      <c r="BK252" s="400">
        <f t="shared" si="1247"/>
        <v>0</v>
      </c>
      <c r="BL252" s="401"/>
      <c r="BM252" s="399"/>
      <c r="BN252" s="401"/>
      <c r="BO252" s="401"/>
      <c r="BQ252" s="15"/>
      <c r="BR252" s="15"/>
      <c r="BS252"/>
      <c r="BT252" s="15"/>
      <c r="BU252" s="15"/>
      <c r="BV252"/>
      <c r="BW252" s="15"/>
      <c r="BX252" s="15"/>
      <c r="BY252"/>
      <c r="BZ252" s="15"/>
      <c r="CA252" s="15"/>
      <c r="CB252"/>
      <c r="CC252" s="15"/>
      <c r="CD252" s="15"/>
      <c r="CE252"/>
      <c r="CF252" s="15"/>
      <c r="CG252" s="15"/>
      <c r="CH252"/>
      <c r="CI252" s="15"/>
      <c r="CJ252" s="15"/>
      <c r="CK252"/>
      <c r="CL252" s="15"/>
      <c r="CM252" s="15"/>
      <c r="CN252"/>
      <c r="CO252" s="15"/>
      <c r="CP252" s="15"/>
      <c r="CR252" s="15"/>
      <c r="CS252" s="15"/>
      <c r="CT252"/>
      <c r="CU252" s="15"/>
      <c r="CV252" s="15"/>
      <c r="CW252"/>
      <c r="CX252" s="399"/>
      <c r="CY252" s="399"/>
      <c r="DA252" s="399"/>
      <c r="DC252" s="399"/>
      <c r="DE252" s="15"/>
      <c r="DF252" s="15">
        <f t="shared" si="1248"/>
        <v>0</v>
      </c>
      <c r="DG252"/>
      <c r="DH252" s="15"/>
      <c r="DI252" s="15">
        <f t="shared" si="1249"/>
        <v>0</v>
      </c>
      <c r="DJ252"/>
      <c r="DK252" s="15"/>
      <c r="DL252" s="15">
        <f t="shared" si="1250"/>
        <v>0</v>
      </c>
      <c r="DM252"/>
      <c r="DN252" s="15"/>
      <c r="DO252" s="15">
        <f t="shared" si="1251"/>
        <v>0</v>
      </c>
      <c r="DP252"/>
      <c r="DQ252" s="15"/>
      <c r="DR252" s="15">
        <f t="shared" si="1252"/>
        <v>0</v>
      </c>
      <c r="DS252"/>
      <c r="DT252" s="15"/>
      <c r="DU252" s="15">
        <f t="shared" si="1253"/>
        <v>0</v>
      </c>
      <c r="DV252"/>
      <c r="DW252" s="15"/>
      <c r="DX252" s="15">
        <f t="shared" si="1254"/>
        <v>0</v>
      </c>
      <c r="DY252"/>
      <c r="DZ252" s="15"/>
      <c r="EA252" s="15">
        <f t="shared" si="1255"/>
        <v>0</v>
      </c>
      <c r="EB252"/>
      <c r="EC252" s="15"/>
      <c r="ED252" s="15">
        <f t="shared" si="1256"/>
        <v>0</v>
      </c>
      <c r="EF252" s="399"/>
      <c r="EG252" s="399">
        <f t="shared" si="1257"/>
        <v>0</v>
      </c>
      <c r="EI252" s="399"/>
      <c r="EK252" s="399">
        <v>500</v>
      </c>
      <c r="EM252" s="399"/>
      <c r="EN252" s="399">
        <f t="shared" si="1258"/>
        <v>500</v>
      </c>
      <c r="EP252" s="399"/>
      <c r="EQ252" s="399">
        <f t="shared" si="1259"/>
        <v>500</v>
      </c>
      <c r="ES252" s="399"/>
      <c r="ET252" s="399">
        <f t="shared" si="1260"/>
        <v>500</v>
      </c>
      <c r="EV252" s="399"/>
      <c r="EW252" s="399">
        <f t="shared" si="1261"/>
        <v>500</v>
      </c>
      <c r="EY252" s="399"/>
      <c r="EZ252" s="399">
        <f t="shared" si="1262"/>
        <v>500</v>
      </c>
      <c r="FB252" s="399"/>
      <c r="FC252" s="399">
        <f t="shared" si="1263"/>
        <v>500</v>
      </c>
      <c r="FE252" s="399"/>
      <c r="FF252" s="399">
        <f t="shared" si="1264"/>
        <v>500</v>
      </c>
      <c r="FH252" s="399"/>
      <c r="FI252" s="399">
        <f t="shared" si="1265"/>
        <v>500</v>
      </c>
      <c r="FK252" s="227">
        <v>-500</v>
      </c>
      <c r="FL252" s="399">
        <f t="shared" si="1266"/>
        <v>0</v>
      </c>
      <c r="FO252" s="399">
        <f t="shared" si="1267"/>
        <v>0</v>
      </c>
      <c r="FR252" s="399">
        <v>0</v>
      </c>
      <c r="FT252" s="399"/>
      <c r="FV252" s="399">
        <v>500</v>
      </c>
      <c r="FW252" s="235" t="e">
        <f t="shared" ref="FW252:FW255" si="1279">FV252/FT252</f>
        <v>#DIV/0!</v>
      </c>
      <c r="FZ252" s="399">
        <f t="shared" si="1269"/>
        <v>500</v>
      </c>
      <c r="GC252" s="399">
        <f t="shared" si="1270"/>
        <v>500</v>
      </c>
      <c r="GF252" s="399">
        <f t="shared" si="1271"/>
        <v>500</v>
      </c>
      <c r="GI252" s="399">
        <f t="shared" si="1272"/>
        <v>500</v>
      </c>
      <c r="GL252" s="399">
        <f t="shared" si="1273"/>
        <v>500</v>
      </c>
      <c r="GO252" s="399">
        <f t="shared" si="1274"/>
        <v>500</v>
      </c>
      <c r="GQ252" s="399"/>
      <c r="GR252" s="399">
        <f t="shared" si="1275"/>
        <v>500</v>
      </c>
      <c r="GT252" s="399"/>
      <c r="GU252" s="399">
        <f t="shared" si="1276"/>
        <v>500</v>
      </c>
      <c r="GW252" s="346">
        <f>295-GU252</f>
        <v>-205</v>
      </c>
      <c r="GX252" s="427">
        <f t="shared" si="1277"/>
        <v>295</v>
      </c>
      <c r="GZ252" s="399"/>
      <c r="HA252" s="427">
        <f t="shared" si="1278"/>
        <v>295</v>
      </c>
      <c r="HC252" s="427">
        <v>295</v>
      </c>
      <c r="HE252" s="399"/>
      <c r="HF252" s="235">
        <f>HE252/HC252</f>
        <v>0</v>
      </c>
    </row>
    <row r="253" spans="1:214" s="395" customFormat="1" outlineLevel="1">
      <c r="A253" s="389" t="s">
        <v>456</v>
      </c>
      <c r="B253" s="390" t="s">
        <v>227</v>
      </c>
      <c r="C253" s="391" t="s">
        <v>221</v>
      </c>
      <c r="D253" s="392"/>
      <c r="E253" s="393"/>
      <c r="F253" s="392"/>
      <c r="G253" s="393"/>
      <c r="H253" s="392"/>
      <c r="I253" s="392"/>
      <c r="J253" s="394"/>
      <c r="L253" s="396"/>
      <c r="M253" s="39"/>
      <c r="N253" s="39"/>
      <c r="O253" s="480"/>
      <c r="P253" s="151"/>
      <c r="Q253" s="154"/>
      <c r="R253" s="15"/>
      <c r="S253" s="118"/>
      <c r="T253" s="15"/>
      <c r="U253" s="15"/>
      <c r="V253" s="140"/>
      <c r="W253"/>
      <c r="X253"/>
      <c r="Y253"/>
      <c r="Z253"/>
      <c r="AA253" s="118"/>
      <c r="AB253" s="118"/>
      <c r="AC253" s="188"/>
      <c r="AD253" s="188"/>
      <c r="AE253" s="396"/>
      <c r="AF253" s="398"/>
      <c r="AH253" s="399"/>
      <c r="AK253" s="396"/>
      <c r="AL253" s="15"/>
      <c r="AM253"/>
      <c r="AN253"/>
      <c r="AO253"/>
      <c r="AP253" s="220"/>
      <c r="AQ253"/>
      <c r="AR253"/>
      <c r="AS253" s="15"/>
      <c r="AT253"/>
      <c r="AU253" s="15"/>
      <c r="AV253" s="15"/>
      <c r="AW253"/>
      <c r="AX253" s="15"/>
      <c r="AY253" s="15"/>
      <c r="AZ253"/>
      <c r="BA253" s="15"/>
      <c r="BB253" s="15"/>
      <c r="BC253"/>
      <c r="BD253" s="15"/>
      <c r="BE253" s="15"/>
      <c r="BG253" s="399"/>
      <c r="BH253" s="399"/>
      <c r="BJ253" s="399"/>
      <c r="BK253" s="400"/>
      <c r="BL253" s="401"/>
      <c r="BM253" s="399"/>
      <c r="BN253" s="401"/>
      <c r="BO253" s="401"/>
      <c r="BQ253" s="15"/>
      <c r="BR253" s="15"/>
      <c r="BS253"/>
      <c r="BT253" s="15"/>
      <c r="BU253" s="15"/>
      <c r="BV253"/>
      <c r="BW253" s="15"/>
      <c r="BX253" s="15"/>
      <c r="BY253"/>
      <c r="BZ253" s="15"/>
      <c r="CA253" s="15"/>
      <c r="CB253"/>
      <c r="CC253" s="15"/>
      <c r="CD253" s="15"/>
      <c r="CE253"/>
      <c r="CF253" s="15"/>
      <c r="CG253" s="15"/>
      <c r="CH253"/>
      <c r="CI253" s="15"/>
      <c r="CJ253" s="15"/>
      <c r="CK253"/>
      <c r="CL253" s="15"/>
      <c r="CM253" s="15"/>
      <c r="CN253"/>
      <c r="CO253" s="15"/>
      <c r="CP253" s="15"/>
      <c r="CR253" s="15"/>
      <c r="CS253" s="15"/>
      <c r="CT253"/>
      <c r="CU253" s="15"/>
      <c r="CV253" s="15"/>
      <c r="CW253"/>
      <c r="CX253" s="399"/>
      <c r="CY253" s="399"/>
      <c r="DA253" s="399"/>
      <c r="DC253" s="399"/>
      <c r="DE253" s="15"/>
      <c r="DF253" s="15"/>
      <c r="DG253"/>
      <c r="DH253" s="15"/>
      <c r="DI253" s="15"/>
      <c r="DJ253"/>
      <c r="DK253" s="15"/>
      <c r="DL253" s="15"/>
      <c r="DM253"/>
      <c r="DN253" s="15"/>
      <c r="DO253" s="15"/>
      <c r="DP253"/>
      <c r="DQ253" s="15"/>
      <c r="DR253" s="15"/>
      <c r="DS253"/>
      <c r="DT253" s="15"/>
      <c r="DU253" s="15"/>
      <c r="DV253"/>
      <c r="DW253" s="15"/>
      <c r="DX253" s="15"/>
      <c r="DY253"/>
      <c r="DZ253" s="15"/>
      <c r="EA253" s="15"/>
      <c r="EB253"/>
      <c r="EC253" s="15"/>
      <c r="ED253" s="15"/>
      <c r="EF253" s="399"/>
      <c r="EG253" s="399"/>
      <c r="EI253" s="399"/>
      <c r="EK253" s="399"/>
      <c r="EM253" s="399"/>
      <c r="EN253" s="399"/>
      <c r="EP253" s="399"/>
      <c r="EQ253" s="399"/>
      <c r="ES253" s="399"/>
      <c r="ET253" s="399"/>
      <c r="EV253" s="399"/>
      <c r="EW253" s="399"/>
      <c r="EY253" s="399"/>
      <c r="EZ253" s="399"/>
      <c r="FB253" s="399"/>
      <c r="FC253" s="399"/>
      <c r="FE253" s="399"/>
      <c r="FF253" s="399"/>
      <c r="FH253" s="399"/>
      <c r="FI253" s="399"/>
      <c r="FK253" s="227"/>
      <c r="FL253" s="399"/>
      <c r="FO253" s="399"/>
      <c r="FR253" s="399"/>
      <c r="FT253" s="399"/>
      <c r="FV253" s="399"/>
      <c r="FW253" s="235"/>
      <c r="FZ253" s="399"/>
      <c r="GC253" s="399"/>
      <c r="GF253" s="399"/>
      <c r="GI253" s="399"/>
      <c r="GL253" s="399"/>
      <c r="GO253" s="399"/>
      <c r="GQ253" s="227">
        <v>150</v>
      </c>
      <c r="GR253" s="399">
        <f t="shared" si="1275"/>
        <v>150</v>
      </c>
      <c r="GT253" s="399"/>
      <c r="GU253" s="399">
        <f t="shared" si="1276"/>
        <v>150</v>
      </c>
      <c r="GW253" s="399"/>
      <c r="GX253" s="427">
        <f t="shared" si="1277"/>
        <v>150</v>
      </c>
      <c r="GZ253" s="399"/>
      <c r="HA253" s="427">
        <f t="shared" si="1278"/>
        <v>150</v>
      </c>
      <c r="HC253" s="427">
        <v>150</v>
      </c>
      <c r="HE253" s="399"/>
      <c r="HF253" s="235"/>
    </row>
    <row r="254" spans="1:214" s="395" customFormat="1" outlineLevel="1">
      <c r="A254" s="389" t="s">
        <v>456</v>
      </c>
      <c r="B254" s="390" t="s">
        <v>206</v>
      </c>
      <c r="C254" s="391" t="s">
        <v>207</v>
      </c>
      <c r="D254" s="392"/>
      <c r="E254" s="393"/>
      <c r="F254" s="392"/>
      <c r="G254" s="393"/>
      <c r="H254" s="392"/>
      <c r="I254" s="392"/>
      <c r="J254" s="394"/>
      <c r="L254" s="396"/>
      <c r="M254" s="39"/>
      <c r="N254" s="39"/>
      <c r="O254" s="480"/>
      <c r="P254" s="151"/>
      <c r="Q254" s="154"/>
      <c r="R254" s="15"/>
      <c r="S254" s="118"/>
      <c r="T254" s="15"/>
      <c r="U254" s="15"/>
      <c r="V254" s="140"/>
      <c r="W254"/>
      <c r="X254"/>
      <c r="Y254"/>
      <c r="Z254"/>
      <c r="AA254" s="118"/>
      <c r="AB254" s="118"/>
      <c r="AC254" s="188"/>
      <c r="AD254" s="188"/>
      <c r="AE254" s="396"/>
      <c r="AF254" s="398"/>
      <c r="AH254" s="399"/>
      <c r="AK254" s="396">
        <v>1000</v>
      </c>
      <c r="AL254" s="15"/>
      <c r="AM254"/>
      <c r="AN254"/>
      <c r="AO254"/>
      <c r="AP254" s="220"/>
      <c r="AQ254"/>
      <c r="AR254"/>
      <c r="AS254" s="15">
        <f t="shared" si="1241"/>
        <v>1000</v>
      </c>
      <c r="AT254"/>
      <c r="AU254" s="15"/>
      <c r="AV254" s="15">
        <f t="shared" si="1242"/>
        <v>1000</v>
      </c>
      <c r="AW254"/>
      <c r="AX254" s="15"/>
      <c r="AY254" s="15">
        <f t="shared" si="1243"/>
        <v>1000</v>
      </c>
      <c r="AZ254"/>
      <c r="BA254" s="15"/>
      <c r="BB254" s="15">
        <f t="shared" si="1244"/>
        <v>1000</v>
      </c>
      <c r="BC254"/>
      <c r="BD254" s="15"/>
      <c r="BE254" s="15">
        <f t="shared" si="1245"/>
        <v>1000</v>
      </c>
      <c r="BG254" s="399"/>
      <c r="BH254" s="399">
        <f t="shared" si="1246"/>
        <v>1000</v>
      </c>
      <c r="BJ254" s="399">
        <v>636</v>
      </c>
      <c r="BK254" s="400">
        <f t="shared" si="1247"/>
        <v>0.63600000000000001</v>
      </c>
      <c r="BL254" s="401"/>
      <c r="BM254" s="399"/>
      <c r="BN254" s="401"/>
      <c r="BO254" s="401"/>
      <c r="BQ254" s="15"/>
      <c r="BR254" s="15"/>
      <c r="BS254"/>
      <c r="BT254" s="15"/>
      <c r="BU254" s="15"/>
      <c r="BV254"/>
      <c r="BW254" s="15"/>
      <c r="BX254" s="15"/>
      <c r="BY254"/>
      <c r="BZ254" s="15"/>
      <c r="CA254" s="15"/>
      <c r="CB254"/>
      <c r="CC254" s="15"/>
      <c r="CD254" s="15"/>
      <c r="CE254"/>
      <c r="CF254" s="15"/>
      <c r="CG254" s="15"/>
      <c r="CH254"/>
      <c r="CI254" s="15"/>
      <c r="CJ254" s="15"/>
      <c r="CK254"/>
      <c r="CL254" s="15"/>
      <c r="CM254" s="15"/>
      <c r="CN254"/>
      <c r="CO254" s="15"/>
      <c r="CP254" s="15"/>
      <c r="CR254" s="15"/>
      <c r="CS254" s="15"/>
      <c r="CT254"/>
      <c r="CU254" s="15"/>
      <c r="CV254" s="15"/>
      <c r="CW254"/>
      <c r="CX254" s="399"/>
      <c r="CY254" s="399"/>
      <c r="DA254" s="399"/>
      <c r="DC254" s="399"/>
      <c r="DE254" s="15"/>
      <c r="DF254" s="15">
        <f t="shared" si="1248"/>
        <v>0</v>
      </c>
      <c r="DG254"/>
      <c r="DH254" s="15"/>
      <c r="DI254" s="15">
        <f t="shared" si="1249"/>
        <v>0</v>
      </c>
      <c r="DJ254"/>
      <c r="DK254" s="15"/>
      <c r="DL254" s="15">
        <f t="shared" si="1250"/>
        <v>0</v>
      </c>
      <c r="DM254"/>
      <c r="DN254" s="15"/>
      <c r="DO254" s="15">
        <f t="shared" si="1251"/>
        <v>0</v>
      </c>
      <c r="DP254"/>
      <c r="DQ254" s="15"/>
      <c r="DR254" s="15">
        <f t="shared" si="1252"/>
        <v>0</v>
      </c>
      <c r="DS254"/>
      <c r="DT254" s="15"/>
      <c r="DU254" s="15">
        <f t="shared" si="1253"/>
        <v>0</v>
      </c>
      <c r="DV254"/>
      <c r="DW254" s="15"/>
      <c r="DX254" s="15">
        <f t="shared" si="1254"/>
        <v>0</v>
      </c>
      <c r="DY254"/>
      <c r="DZ254" s="15"/>
      <c r="EA254" s="15">
        <f t="shared" si="1255"/>
        <v>0</v>
      </c>
      <c r="EB254"/>
      <c r="EC254" s="15"/>
      <c r="ED254" s="15">
        <f t="shared" si="1256"/>
        <v>0</v>
      </c>
      <c r="EF254" s="399"/>
      <c r="EG254" s="399">
        <f t="shared" si="1257"/>
        <v>0</v>
      </c>
      <c r="EI254" s="399"/>
      <c r="EK254" s="399">
        <v>1000</v>
      </c>
      <c r="EM254" s="399"/>
      <c r="EN254" s="399">
        <f t="shared" si="1258"/>
        <v>1000</v>
      </c>
      <c r="EP254" s="399"/>
      <c r="EQ254" s="399">
        <f t="shared" si="1259"/>
        <v>1000</v>
      </c>
      <c r="ES254" s="399"/>
      <c r="ET254" s="399">
        <f t="shared" si="1260"/>
        <v>1000</v>
      </c>
      <c r="EV254" s="399"/>
      <c r="EW254" s="399">
        <f t="shared" si="1261"/>
        <v>1000</v>
      </c>
      <c r="EY254" s="399"/>
      <c r="EZ254" s="399">
        <f t="shared" si="1262"/>
        <v>1000</v>
      </c>
      <c r="FB254" s="399"/>
      <c r="FC254" s="399">
        <f t="shared" si="1263"/>
        <v>1000</v>
      </c>
      <c r="FE254" s="399"/>
      <c r="FF254" s="399">
        <f t="shared" si="1264"/>
        <v>1000</v>
      </c>
      <c r="FH254" s="399"/>
      <c r="FI254" s="399">
        <f t="shared" si="1265"/>
        <v>1000</v>
      </c>
      <c r="FK254" s="227">
        <v>-1000</v>
      </c>
      <c r="FL254" s="399">
        <f t="shared" si="1266"/>
        <v>0</v>
      </c>
      <c r="FO254" s="399">
        <f t="shared" si="1267"/>
        <v>0</v>
      </c>
      <c r="FR254" s="399">
        <v>0</v>
      </c>
      <c r="FT254" s="399"/>
      <c r="FV254" s="399">
        <v>1500</v>
      </c>
      <c r="FW254" s="235" t="e">
        <f t="shared" si="1279"/>
        <v>#DIV/0!</v>
      </c>
      <c r="FZ254" s="399">
        <f t="shared" si="1269"/>
        <v>1500</v>
      </c>
      <c r="GC254" s="399">
        <f t="shared" si="1270"/>
        <v>1500</v>
      </c>
      <c r="GF254" s="399">
        <f t="shared" si="1271"/>
        <v>1500</v>
      </c>
      <c r="GI254" s="399">
        <f t="shared" si="1272"/>
        <v>1500</v>
      </c>
      <c r="GL254" s="399">
        <f t="shared" si="1273"/>
        <v>1500</v>
      </c>
      <c r="GO254" s="399">
        <f t="shared" si="1274"/>
        <v>1500</v>
      </c>
      <c r="GQ254" s="399"/>
      <c r="GR254" s="399">
        <f t="shared" si="1275"/>
        <v>1500</v>
      </c>
      <c r="GT254" s="399"/>
      <c r="GU254" s="399">
        <f t="shared" si="1276"/>
        <v>1500</v>
      </c>
      <c r="GW254" s="346">
        <f>1458.8-GU254</f>
        <v>-41.200000000000045</v>
      </c>
      <c r="GX254" s="427">
        <f t="shared" si="1277"/>
        <v>1458.8</v>
      </c>
      <c r="GZ254" s="399"/>
      <c r="HA254" s="427">
        <f t="shared" si="1278"/>
        <v>1458.8</v>
      </c>
      <c r="HC254" s="427">
        <v>1458.8</v>
      </c>
      <c r="HE254" s="399"/>
      <c r="HF254" s="235">
        <f>HE254/HC254</f>
        <v>0</v>
      </c>
    </row>
    <row r="255" spans="1:214" s="395" customFormat="1" outlineLevel="1">
      <c r="A255" s="389" t="s">
        <v>456</v>
      </c>
      <c r="B255" s="390" t="s">
        <v>148</v>
      </c>
      <c r="C255" s="391" t="s">
        <v>149</v>
      </c>
      <c r="D255" s="392"/>
      <c r="E255" s="393"/>
      <c r="F255" s="392"/>
      <c r="G255" s="393"/>
      <c r="H255" s="392"/>
      <c r="I255" s="392"/>
      <c r="J255" s="394"/>
      <c r="L255" s="396"/>
      <c r="M255" s="39"/>
      <c r="N255" s="39"/>
      <c r="O255" s="151"/>
      <c r="P255" s="151"/>
      <c r="Q255" s="154"/>
      <c r="R255" s="15"/>
      <c r="S255" s="118"/>
      <c r="T255" s="15"/>
      <c r="U255" s="15"/>
      <c r="V255" s="140"/>
      <c r="W255"/>
      <c r="X255"/>
      <c r="Y255"/>
      <c r="Z255"/>
      <c r="AA255" s="118"/>
      <c r="AB255" s="118"/>
      <c r="AC255" s="188"/>
      <c r="AD255" s="188"/>
      <c r="AE255" s="396"/>
      <c r="AF255" s="398"/>
      <c r="AH255" s="399"/>
      <c r="AK255" s="396">
        <v>2000</v>
      </c>
      <c r="AL255" s="15"/>
      <c r="AM255"/>
      <c r="AN255"/>
      <c r="AO255"/>
      <c r="AP255" s="220"/>
      <c r="AQ255"/>
      <c r="AR255"/>
      <c r="AS255" s="15">
        <f t="shared" si="1241"/>
        <v>2000</v>
      </c>
      <c r="AT255"/>
      <c r="AU255" s="15"/>
      <c r="AV255" s="15">
        <f t="shared" si="1242"/>
        <v>2000</v>
      </c>
      <c r="AW255"/>
      <c r="AX255" s="15"/>
      <c r="AY255" s="15">
        <f t="shared" si="1243"/>
        <v>2000</v>
      </c>
      <c r="AZ255"/>
      <c r="BA255" s="15"/>
      <c r="BB255" s="15">
        <f t="shared" si="1244"/>
        <v>2000</v>
      </c>
      <c r="BC255"/>
      <c r="BD255" s="15"/>
      <c r="BE255" s="15">
        <f t="shared" si="1245"/>
        <v>2000</v>
      </c>
      <c r="BG255" s="399"/>
      <c r="BH255" s="399">
        <f t="shared" si="1246"/>
        <v>2000</v>
      </c>
      <c r="BJ255" s="399">
        <v>910</v>
      </c>
      <c r="BK255" s="400">
        <f t="shared" si="1247"/>
        <v>0.45500000000000002</v>
      </c>
      <c r="BL255" s="401"/>
      <c r="BM255" s="399"/>
      <c r="BN255" s="401"/>
      <c r="BO255" s="401"/>
      <c r="BQ255" s="15"/>
      <c r="BR255" s="15"/>
      <c r="BS255"/>
      <c r="BT255" s="15"/>
      <c r="BU255" s="15"/>
      <c r="BV255"/>
      <c r="BW255" s="15"/>
      <c r="BX255" s="15"/>
      <c r="BY255"/>
      <c r="BZ255" s="15"/>
      <c r="CA255" s="15"/>
      <c r="CB255"/>
      <c r="CC255" s="15"/>
      <c r="CD255" s="15"/>
      <c r="CE255"/>
      <c r="CF255" s="15"/>
      <c r="CG255" s="15"/>
      <c r="CH255"/>
      <c r="CI255" s="15"/>
      <c r="CJ255" s="15"/>
      <c r="CK255"/>
      <c r="CL255" s="15"/>
      <c r="CM255" s="15"/>
      <c r="CN255"/>
      <c r="CO255" s="15"/>
      <c r="CP255" s="15"/>
      <c r="CR255" s="15"/>
      <c r="CS255" s="15"/>
      <c r="CT255"/>
      <c r="CU255" s="15"/>
      <c r="CV255" s="15"/>
      <c r="CW255"/>
      <c r="CX255" s="399"/>
      <c r="CY255" s="399"/>
      <c r="DA255" s="399"/>
      <c r="DC255" s="399"/>
      <c r="DE255" s="15"/>
      <c r="DF255" s="15">
        <f t="shared" si="1248"/>
        <v>0</v>
      </c>
      <c r="DG255"/>
      <c r="DH255" s="15"/>
      <c r="DI255" s="15">
        <f t="shared" si="1249"/>
        <v>0</v>
      </c>
      <c r="DJ255"/>
      <c r="DK255" s="15"/>
      <c r="DL255" s="15">
        <f t="shared" si="1250"/>
        <v>0</v>
      </c>
      <c r="DM255"/>
      <c r="DN255" s="15"/>
      <c r="DO255" s="15">
        <f t="shared" si="1251"/>
        <v>0</v>
      </c>
      <c r="DP255"/>
      <c r="DQ255" s="15"/>
      <c r="DR255" s="15">
        <f t="shared" si="1252"/>
        <v>0</v>
      </c>
      <c r="DS255"/>
      <c r="DT255" s="15"/>
      <c r="DU255" s="15">
        <f t="shared" si="1253"/>
        <v>0</v>
      </c>
      <c r="DV255"/>
      <c r="DW255" s="15"/>
      <c r="DX255" s="15">
        <f t="shared" si="1254"/>
        <v>0</v>
      </c>
      <c r="DY255"/>
      <c r="DZ255" s="15"/>
      <c r="EA255" s="15">
        <f t="shared" si="1255"/>
        <v>0</v>
      </c>
      <c r="EB255"/>
      <c r="EC255" s="15"/>
      <c r="ED255" s="15">
        <f t="shared" si="1256"/>
        <v>0</v>
      </c>
      <c r="EF255" s="399"/>
      <c r="EG255" s="399">
        <f t="shared" si="1257"/>
        <v>0</v>
      </c>
      <c r="EI255" s="399"/>
      <c r="EK255" s="399">
        <v>2000</v>
      </c>
      <c r="EM255" s="399"/>
      <c r="EN255" s="399">
        <f t="shared" si="1258"/>
        <v>2000</v>
      </c>
      <c r="EP255" s="399"/>
      <c r="EQ255" s="399">
        <f t="shared" si="1259"/>
        <v>2000</v>
      </c>
      <c r="ES255" s="399"/>
      <c r="ET255" s="399">
        <f t="shared" si="1260"/>
        <v>2000</v>
      </c>
      <c r="EV255" s="399"/>
      <c r="EW255" s="399">
        <f t="shared" si="1261"/>
        <v>2000</v>
      </c>
      <c r="EY255" s="399"/>
      <c r="EZ255" s="399">
        <f t="shared" si="1262"/>
        <v>2000</v>
      </c>
      <c r="FB255" s="399"/>
      <c r="FC255" s="399">
        <f t="shared" si="1263"/>
        <v>2000</v>
      </c>
      <c r="FE255" s="399"/>
      <c r="FF255" s="399">
        <f t="shared" si="1264"/>
        <v>2000</v>
      </c>
      <c r="FH255" s="399"/>
      <c r="FI255" s="399">
        <f t="shared" si="1265"/>
        <v>2000</v>
      </c>
      <c r="FK255" s="227">
        <v>-2000</v>
      </c>
      <c r="FL255" s="399">
        <f t="shared" si="1266"/>
        <v>0</v>
      </c>
      <c r="FO255" s="399">
        <f t="shared" si="1267"/>
        <v>0</v>
      </c>
      <c r="FR255" s="399">
        <v>0</v>
      </c>
      <c r="FT255" s="399"/>
      <c r="FV255" s="399">
        <v>3000</v>
      </c>
      <c r="FW255" s="235" t="e">
        <f t="shared" si="1279"/>
        <v>#DIV/0!</v>
      </c>
      <c r="FZ255" s="399">
        <f t="shared" si="1269"/>
        <v>3000</v>
      </c>
      <c r="GC255" s="399">
        <f t="shared" si="1270"/>
        <v>3000</v>
      </c>
      <c r="GF255" s="399">
        <f t="shared" si="1271"/>
        <v>3000</v>
      </c>
      <c r="GI255" s="399">
        <f t="shared" si="1272"/>
        <v>3000</v>
      </c>
      <c r="GL255" s="399">
        <f t="shared" si="1273"/>
        <v>3000</v>
      </c>
      <c r="GO255" s="399">
        <f t="shared" si="1274"/>
        <v>3000</v>
      </c>
      <c r="GQ255" s="399"/>
      <c r="GR255" s="399">
        <f t="shared" si="1275"/>
        <v>3000</v>
      </c>
      <c r="GT255" s="399"/>
      <c r="GU255" s="399">
        <f t="shared" si="1276"/>
        <v>3000</v>
      </c>
      <c r="GW255" s="346">
        <f>1184-GU255</f>
        <v>-1816</v>
      </c>
      <c r="GX255" s="427">
        <f t="shared" si="1277"/>
        <v>1184</v>
      </c>
      <c r="GZ255" s="399"/>
      <c r="HA255" s="427">
        <f t="shared" si="1278"/>
        <v>1184</v>
      </c>
      <c r="HC255" s="427">
        <v>1184</v>
      </c>
      <c r="HE255" s="399"/>
      <c r="HF255" s="235">
        <f>HE255/HC255</f>
        <v>0</v>
      </c>
    </row>
    <row r="256" spans="1:214" s="395" customFormat="1" outlineLevel="1">
      <c r="A256" s="389" t="s">
        <v>456</v>
      </c>
      <c r="B256" s="397" t="s">
        <v>46</v>
      </c>
      <c r="C256" s="391" t="s">
        <v>651</v>
      </c>
      <c r="D256" s="392"/>
      <c r="E256" s="393"/>
      <c r="F256" s="392"/>
      <c r="G256" s="393"/>
      <c r="H256" s="392"/>
      <c r="I256" s="392"/>
      <c r="J256" s="394"/>
      <c r="L256" s="396"/>
      <c r="M256" s="39"/>
      <c r="N256" s="39"/>
      <c r="O256" s="151"/>
      <c r="P256" s="151"/>
      <c r="Q256" s="154"/>
      <c r="R256" s="15"/>
      <c r="S256" s="118"/>
      <c r="T256" s="15"/>
      <c r="U256" s="15"/>
      <c r="V256" s="140"/>
      <c r="W256"/>
      <c r="X256"/>
      <c r="Y256"/>
      <c r="Z256"/>
      <c r="AA256" s="118"/>
      <c r="AB256" s="118"/>
      <c r="AC256" s="188"/>
      <c r="AD256" s="188"/>
      <c r="AE256" s="396"/>
      <c r="AF256" s="398"/>
      <c r="AH256" s="399"/>
      <c r="AK256" s="396"/>
      <c r="AL256" s="15"/>
      <c r="AM256"/>
      <c r="AN256"/>
      <c r="AO256"/>
      <c r="AP256" s="220"/>
      <c r="AQ256"/>
      <c r="AR256"/>
      <c r="AS256"/>
      <c r="AT256"/>
      <c r="AU256" s="15"/>
      <c r="AV256"/>
      <c r="AW256"/>
      <c r="AX256" s="15"/>
      <c r="AY256"/>
      <c r="AZ256"/>
      <c r="BA256" s="15"/>
      <c r="BB256"/>
      <c r="BC256"/>
      <c r="BD256" s="15"/>
      <c r="BE256"/>
      <c r="BG256" s="399"/>
      <c r="BJ256" s="399"/>
      <c r="BK256" s="401"/>
      <c r="BL256" s="401"/>
      <c r="BN256" s="401"/>
      <c r="BO256" s="401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 s="15"/>
      <c r="CM256"/>
      <c r="CN256"/>
      <c r="CO256" s="15"/>
      <c r="CP256"/>
      <c r="CR256" s="15"/>
      <c r="CS256"/>
      <c r="CT256"/>
      <c r="CU256" s="15"/>
      <c r="CV256"/>
      <c r="CW256"/>
      <c r="CX256" s="399"/>
      <c r="DA256" s="399"/>
      <c r="DC256" s="399"/>
      <c r="DE256" s="15"/>
      <c r="DF256"/>
      <c r="DG256"/>
      <c r="DH256" s="15"/>
      <c r="DI256"/>
      <c r="DJ256"/>
      <c r="DK256" s="15"/>
      <c r="DL256"/>
      <c r="DM256"/>
      <c r="DN256" s="15"/>
      <c r="DO256"/>
      <c r="DP256"/>
      <c r="DQ256" s="15"/>
      <c r="DR256"/>
      <c r="DS256"/>
      <c r="DT256" s="15"/>
      <c r="DU256"/>
      <c r="DV256"/>
      <c r="DW256" s="15"/>
      <c r="DX256"/>
      <c r="DY256"/>
      <c r="DZ256" s="15"/>
      <c r="EA256"/>
      <c r="EB256"/>
      <c r="EC256" s="15"/>
      <c r="ED256"/>
      <c r="EF256" s="399"/>
      <c r="EI256" s="399"/>
      <c r="EK256" s="399"/>
      <c r="EM256" s="399"/>
      <c r="EP256" s="399"/>
      <c r="ES256" s="399"/>
      <c r="EV256" s="399"/>
      <c r="EY256" s="399"/>
      <c r="FB256" s="399"/>
      <c r="FE256" s="399"/>
      <c r="FH256" s="399"/>
      <c r="FK256" s="399"/>
      <c r="FN256" s="399"/>
      <c r="FQ256" s="399"/>
      <c r="FT256" s="399"/>
      <c r="FV256" s="399"/>
      <c r="FY256" s="399"/>
      <c r="GB256" s="399"/>
      <c r="GE256" s="399"/>
      <c r="GH256" s="399"/>
      <c r="GK256" s="399"/>
      <c r="GN256" s="399"/>
      <c r="GQ256" s="399"/>
      <c r="GT256" s="399"/>
      <c r="GW256" s="399"/>
      <c r="GX256" s="427"/>
      <c r="GZ256" s="399"/>
      <c r="HA256" s="427"/>
      <c r="HC256" s="427"/>
      <c r="HE256" s="399"/>
    </row>
    <row r="257" spans="1:213" outlineLevel="1">
      <c r="A257" s="13" t="s">
        <v>349</v>
      </c>
      <c r="B257" s="332" t="s">
        <v>183</v>
      </c>
      <c r="C257" s="4" t="s">
        <v>184</v>
      </c>
      <c r="D257" s="36"/>
      <c r="E257" s="51"/>
      <c r="F257" s="36"/>
      <c r="G257" s="51"/>
      <c r="H257" s="36"/>
      <c r="I257" s="36"/>
      <c r="J257" s="14"/>
      <c r="M257" s="39"/>
      <c r="N257" s="39"/>
      <c r="O257" s="151"/>
      <c r="P257" s="151"/>
      <c r="Q257" s="154"/>
      <c r="AF257" s="182"/>
      <c r="AH257" s="15"/>
      <c r="AX257" s="15"/>
      <c r="BD257" s="15"/>
      <c r="BG257" s="15"/>
      <c r="CO257" s="15">
        <v>1800</v>
      </c>
      <c r="CP257" s="15">
        <f t="shared" ref="CP257:CP264" si="1280">CM257+CO257</f>
        <v>1800</v>
      </c>
      <c r="CS257" s="15">
        <f t="shared" ref="CS257:CS264" si="1281">CP257+CR257</f>
        <v>1800</v>
      </c>
      <c r="CV257" s="15">
        <f t="shared" ref="CV257:CV264" si="1282">CS257+CU257</f>
        <v>1800</v>
      </c>
      <c r="CY257" s="15">
        <f t="shared" ref="CY257:CY264" si="1283">CV257+CX257</f>
        <v>1800</v>
      </c>
      <c r="DA257" s="15">
        <v>1785</v>
      </c>
      <c r="DE257" s="15"/>
      <c r="DH257" s="15"/>
      <c r="DK257" s="15"/>
      <c r="DN257" s="15"/>
      <c r="DQ257" s="15"/>
      <c r="DT257" s="15"/>
      <c r="DW257" s="15"/>
      <c r="DZ257" s="15"/>
      <c r="EC257" s="15"/>
      <c r="EF257" s="15"/>
      <c r="EK257" s="15"/>
      <c r="EM257" s="15"/>
      <c r="EP257" s="15"/>
      <c r="ES257" s="15"/>
      <c r="GB257" s="15"/>
      <c r="GE257" s="15"/>
      <c r="GH257" s="15"/>
      <c r="GK257" s="15"/>
      <c r="GN257" s="15"/>
      <c r="GQ257" s="15"/>
      <c r="GT257" s="15"/>
      <c r="GW257" s="15"/>
      <c r="GZ257" s="15"/>
    </row>
    <row r="258" spans="1:213" outlineLevel="1">
      <c r="A258" s="13" t="s">
        <v>349</v>
      </c>
      <c r="B258" s="1" t="s">
        <v>142</v>
      </c>
      <c r="C258" s="4" t="s">
        <v>143</v>
      </c>
      <c r="D258" s="36"/>
      <c r="E258" s="51" t="s">
        <v>463</v>
      </c>
      <c r="F258" s="36"/>
      <c r="G258" s="51"/>
      <c r="H258" s="36"/>
      <c r="I258" s="36"/>
      <c r="J258" s="14"/>
      <c r="K258" t="s">
        <v>332</v>
      </c>
      <c r="L258" s="118">
        <v>14000</v>
      </c>
      <c r="M258" s="17" t="e">
        <f t="shared" ref="M258:M278" si="1284">L258/F258-1</f>
        <v>#DIV/0!</v>
      </c>
      <c r="N258" s="17" t="e">
        <f>L258/I258-1</f>
        <v>#DIV/0!</v>
      </c>
      <c r="Q258" s="118">
        <f>L258</f>
        <v>14000</v>
      </c>
      <c r="R258" s="15">
        <v>0</v>
      </c>
      <c r="S258" s="118">
        <f>Q258</f>
        <v>14000</v>
      </c>
      <c r="T258" s="15">
        <f t="shared" ref="T258:T264" si="1285">S258-Q258</f>
        <v>0</v>
      </c>
      <c r="U258" s="16">
        <f t="shared" ref="U258:U278" si="1286">S258/Q258-1</f>
        <v>0</v>
      </c>
      <c r="Y258" s="118">
        <v>17000</v>
      </c>
      <c r="AA258" s="118">
        <v>17000</v>
      </c>
      <c r="AB258" s="185">
        <f t="shared" ref="AB258:AB264" si="1287">AA258-Y258</f>
        <v>0</v>
      </c>
      <c r="AC258" s="187">
        <f t="shared" ref="AC258:AC264" si="1288">AA258-Y258</f>
        <v>0</v>
      </c>
      <c r="AD258" s="187"/>
      <c r="AE258" s="118">
        <v>17000</v>
      </c>
      <c r="AF258" s="182"/>
      <c r="AH258" s="15">
        <v>16579</v>
      </c>
      <c r="AI258" s="17">
        <f t="shared" ref="AI258:AI279" si="1289">AH258/AE258</f>
        <v>0.97523529411764709</v>
      </c>
      <c r="AX258" s="15"/>
      <c r="BD258" s="15"/>
      <c r="BG258" s="15"/>
      <c r="BM258" s="15">
        <v>20000</v>
      </c>
      <c r="BQ258" s="15"/>
      <c r="BR258" s="15">
        <f t="shared" ref="BR258:BR264" si="1290">BM258+BQ258</f>
        <v>20000</v>
      </c>
      <c r="BT258" s="15"/>
      <c r="BU258" s="15">
        <f t="shared" ref="BU258:BU264" si="1291">BR258+BT258</f>
        <v>20000</v>
      </c>
      <c r="BW258" s="15"/>
      <c r="BX258" s="15">
        <f t="shared" ref="BX258:BX264" si="1292">BU258+BW258</f>
        <v>20000</v>
      </c>
      <c r="BZ258" s="15"/>
      <c r="CA258" s="15">
        <f t="shared" ref="CA258:CA264" si="1293">BX258+BZ258</f>
        <v>20000</v>
      </c>
      <c r="CC258" s="15"/>
      <c r="CD258" s="15">
        <f t="shared" ref="CD258:CD264" si="1294">CA258+CC258</f>
        <v>20000</v>
      </c>
      <c r="CF258" s="15"/>
      <c r="CG258" s="15">
        <f t="shared" ref="CG258:CG264" si="1295">CD258+CF258</f>
        <v>20000</v>
      </c>
      <c r="CI258" s="15"/>
      <c r="CJ258" s="15">
        <f t="shared" ref="CJ258:CJ264" si="1296">CG258+CI258</f>
        <v>20000</v>
      </c>
      <c r="CL258" s="15">
        <v>-18000</v>
      </c>
      <c r="CM258" s="15">
        <f t="shared" ref="CM258:CM264" si="1297">CJ258+CL258</f>
        <v>2000</v>
      </c>
      <c r="CO258" s="15">
        <v>6000</v>
      </c>
      <c r="CP258" s="15">
        <f t="shared" si="1280"/>
        <v>8000</v>
      </c>
      <c r="CS258" s="15">
        <f t="shared" si="1281"/>
        <v>8000</v>
      </c>
      <c r="CV258" s="15">
        <f t="shared" si="1282"/>
        <v>8000</v>
      </c>
      <c r="CY258" s="15">
        <f t="shared" si="1283"/>
        <v>8000</v>
      </c>
      <c r="DA258" s="15">
        <v>7938</v>
      </c>
      <c r="DE258" s="15"/>
      <c r="DH258" s="15"/>
      <c r="DK258" s="15"/>
      <c r="DN258" s="15"/>
      <c r="DQ258" s="15"/>
      <c r="DT258" s="15"/>
      <c r="DW258" s="15"/>
      <c r="DZ258" s="15"/>
      <c r="EC258" s="15"/>
      <c r="EF258" s="15"/>
      <c r="EK258" s="15">
        <v>20000</v>
      </c>
      <c r="EM258" s="15"/>
      <c r="EN258" s="15">
        <f t="shared" ref="EN258" si="1298">EK258+EM258</f>
        <v>20000</v>
      </c>
      <c r="EP258" s="15"/>
      <c r="EQ258" s="15">
        <f t="shared" ref="EQ258" si="1299">EN258+EP258</f>
        <v>20000</v>
      </c>
      <c r="ES258" s="15"/>
      <c r="ET258" s="15">
        <f t="shared" ref="ET258" si="1300">EQ258+ES258</f>
        <v>20000</v>
      </c>
      <c r="EW258" s="15">
        <f t="shared" ref="EW258" si="1301">ET258+EV258</f>
        <v>20000</v>
      </c>
      <c r="EZ258" s="15">
        <f t="shared" ref="EZ258" si="1302">EW258+EY258</f>
        <v>20000</v>
      </c>
      <c r="FC258" s="15">
        <f t="shared" ref="FC258" si="1303">EZ258+FB258</f>
        <v>20000</v>
      </c>
      <c r="FE258" s="227">
        <v>-450</v>
      </c>
      <c r="FF258" s="15">
        <f t="shared" ref="FF258" si="1304">FC258+FE258</f>
        <v>19550</v>
      </c>
      <c r="FI258" s="15">
        <f t="shared" ref="FI258" si="1305">FF258+FH258</f>
        <v>19550</v>
      </c>
      <c r="FK258" s="227">
        <f>15421-19550</f>
        <v>-4129</v>
      </c>
      <c r="FL258" s="15">
        <f t="shared" ref="FL258" si="1306">FI258+FK258</f>
        <v>15421</v>
      </c>
      <c r="FM258" s="15"/>
      <c r="FO258" s="15">
        <f t="shared" ref="FO258" si="1307">FL258+FN258</f>
        <v>15421</v>
      </c>
      <c r="FR258" s="15">
        <v>15421</v>
      </c>
      <c r="FT258" s="15">
        <v>15421</v>
      </c>
      <c r="FZ258" s="15">
        <f>FV258+FY258</f>
        <v>0</v>
      </c>
      <c r="GB258" s="15"/>
      <c r="GC258" s="15">
        <f>FZ258+GB258</f>
        <v>0</v>
      </c>
      <c r="GE258" s="15"/>
      <c r="GF258" s="15">
        <f>GC258+GE258</f>
        <v>0</v>
      </c>
      <c r="GH258" s="15"/>
      <c r="GI258" s="15">
        <f>GF258+GH258</f>
        <v>0</v>
      </c>
      <c r="GK258" s="15"/>
      <c r="GL258" s="15">
        <f>GI258+GK258</f>
        <v>0</v>
      </c>
      <c r="GN258" s="15"/>
      <c r="GO258" s="15">
        <f>GL258+GN258</f>
        <v>0</v>
      </c>
      <c r="GQ258" s="15"/>
      <c r="GR258" s="15">
        <f>GO258+GQ258</f>
        <v>0</v>
      </c>
      <c r="GT258" s="15"/>
      <c r="GU258" s="15">
        <f>GR258+GT258</f>
        <v>0</v>
      </c>
      <c r="GW258" s="15"/>
      <c r="GX258" s="15">
        <f>GU258+GW258</f>
        <v>0</v>
      </c>
      <c r="GZ258" s="15"/>
      <c r="HA258" s="189">
        <f>GX258+GZ258</f>
        <v>0</v>
      </c>
      <c r="HE258" s="15">
        <v>12000</v>
      </c>
    </row>
    <row r="259" spans="1:213" outlineLevel="1">
      <c r="A259" s="13" t="s">
        <v>349</v>
      </c>
      <c r="B259" s="1" t="s">
        <v>189</v>
      </c>
      <c r="C259" s="4" t="s">
        <v>190</v>
      </c>
      <c r="D259" s="36"/>
      <c r="E259" s="51"/>
      <c r="F259" s="36"/>
      <c r="G259" s="51"/>
      <c r="H259" s="36"/>
      <c r="I259" s="36"/>
      <c r="J259" s="14"/>
      <c r="M259" s="17"/>
      <c r="N259" s="17"/>
      <c r="U259" s="16"/>
      <c r="Y259" s="118">
        <v>1000</v>
      </c>
      <c r="AA259" s="118">
        <v>500</v>
      </c>
      <c r="AB259" s="185">
        <f t="shared" si="1287"/>
        <v>-500</v>
      </c>
      <c r="AC259" s="187">
        <f t="shared" si="1288"/>
        <v>-500</v>
      </c>
      <c r="AD259" s="187"/>
      <c r="AE259" s="118">
        <v>500</v>
      </c>
      <c r="AF259" s="182"/>
      <c r="AH259" s="15">
        <v>489</v>
      </c>
      <c r="AI259" s="17">
        <f t="shared" si="1289"/>
        <v>0.97799999999999998</v>
      </c>
      <c r="AX259" s="15"/>
      <c r="BD259" s="15"/>
      <c r="BG259" s="15"/>
      <c r="BM259" s="15">
        <v>500</v>
      </c>
      <c r="BQ259" s="15"/>
      <c r="BR259" s="15">
        <f t="shared" si="1290"/>
        <v>500</v>
      </c>
      <c r="BT259" s="15"/>
      <c r="BU259" s="15">
        <f t="shared" si="1291"/>
        <v>500</v>
      </c>
      <c r="BW259" s="15"/>
      <c r="BX259" s="15">
        <f t="shared" si="1292"/>
        <v>500</v>
      </c>
      <c r="BZ259" s="15"/>
      <c r="CA259" s="15">
        <f t="shared" si="1293"/>
        <v>500</v>
      </c>
      <c r="CC259" s="15"/>
      <c r="CD259" s="15">
        <f t="shared" si="1294"/>
        <v>500</v>
      </c>
      <c r="CF259" s="15"/>
      <c r="CG259" s="15">
        <f t="shared" si="1295"/>
        <v>500</v>
      </c>
      <c r="CI259" s="15"/>
      <c r="CJ259" s="15">
        <f t="shared" si="1296"/>
        <v>500</v>
      </c>
      <c r="CM259" s="15">
        <f t="shared" si="1297"/>
        <v>500</v>
      </c>
      <c r="CP259" s="15">
        <f t="shared" si="1280"/>
        <v>500</v>
      </c>
      <c r="CS259" s="15">
        <f t="shared" si="1281"/>
        <v>500</v>
      </c>
      <c r="CV259" s="15">
        <f t="shared" si="1282"/>
        <v>500</v>
      </c>
      <c r="CY259" s="15">
        <f t="shared" si="1283"/>
        <v>500</v>
      </c>
      <c r="DA259" s="15">
        <v>0</v>
      </c>
      <c r="DE259" s="15"/>
      <c r="DH259" s="15"/>
      <c r="DK259" s="15"/>
      <c r="DN259" s="15"/>
      <c r="DQ259" s="15"/>
      <c r="DT259" s="15"/>
      <c r="DW259" s="15"/>
      <c r="DZ259" s="15"/>
      <c r="EC259" s="15"/>
      <c r="EF259" s="15"/>
      <c r="EK259" s="15"/>
      <c r="EM259" s="15"/>
      <c r="EP259" s="15"/>
      <c r="ES259" s="15"/>
      <c r="GB259" s="15"/>
      <c r="GE259" s="15"/>
      <c r="GH259" s="15"/>
      <c r="GK259" s="15"/>
      <c r="GN259" s="15"/>
      <c r="GQ259" s="15"/>
      <c r="GT259" s="15"/>
      <c r="GW259" s="15"/>
      <c r="GZ259" s="15"/>
    </row>
    <row r="260" spans="1:213" outlineLevel="1">
      <c r="A260" s="13" t="s">
        <v>349</v>
      </c>
      <c r="B260" s="1" t="s">
        <v>225</v>
      </c>
      <c r="C260" s="4" t="s">
        <v>226</v>
      </c>
      <c r="D260" s="36"/>
      <c r="E260" s="51"/>
      <c r="F260" s="36"/>
      <c r="G260" s="51"/>
      <c r="H260" s="36"/>
      <c r="I260" s="36"/>
      <c r="J260" s="14"/>
      <c r="M260" s="17"/>
      <c r="N260" s="17"/>
      <c r="U260" s="16"/>
      <c r="Y260" s="118">
        <v>1000</v>
      </c>
      <c r="AA260" s="118">
        <v>850</v>
      </c>
      <c r="AB260" s="185">
        <f t="shared" si="1287"/>
        <v>-150</v>
      </c>
      <c r="AC260" s="187">
        <f t="shared" si="1288"/>
        <v>-150</v>
      </c>
      <c r="AD260" s="187"/>
      <c r="AE260" s="118">
        <v>850</v>
      </c>
      <c r="AF260" s="182"/>
      <c r="AH260" s="15">
        <v>840</v>
      </c>
      <c r="AI260" s="17">
        <f t="shared" si="1289"/>
        <v>0.9882352941176471</v>
      </c>
      <c r="AX260" s="15"/>
      <c r="BD260" s="15"/>
      <c r="BG260" s="15"/>
      <c r="BM260" s="15">
        <v>1000</v>
      </c>
      <c r="BQ260" s="15"/>
      <c r="BR260" s="15">
        <f t="shared" si="1290"/>
        <v>1000</v>
      </c>
      <c r="BT260" s="15"/>
      <c r="BU260" s="15">
        <f t="shared" si="1291"/>
        <v>1000</v>
      </c>
      <c r="BW260" s="15"/>
      <c r="BX260" s="15">
        <f t="shared" si="1292"/>
        <v>1000</v>
      </c>
      <c r="BZ260" s="15"/>
      <c r="CA260" s="15">
        <f t="shared" si="1293"/>
        <v>1000</v>
      </c>
      <c r="CC260" s="15"/>
      <c r="CD260" s="15">
        <f t="shared" si="1294"/>
        <v>1000</v>
      </c>
      <c r="CF260" s="15"/>
      <c r="CG260" s="15">
        <f t="shared" si="1295"/>
        <v>1000</v>
      </c>
      <c r="CI260" s="15"/>
      <c r="CJ260" s="15">
        <f t="shared" si="1296"/>
        <v>1000</v>
      </c>
      <c r="CM260" s="15">
        <f t="shared" si="1297"/>
        <v>1000</v>
      </c>
      <c r="CP260" s="15">
        <f t="shared" si="1280"/>
        <v>1000</v>
      </c>
      <c r="CS260" s="15">
        <f t="shared" si="1281"/>
        <v>1000</v>
      </c>
      <c r="CV260" s="15">
        <f t="shared" si="1282"/>
        <v>1000</v>
      </c>
      <c r="CY260" s="15">
        <f t="shared" si="1283"/>
        <v>1000</v>
      </c>
      <c r="DA260" s="15">
        <v>0</v>
      </c>
      <c r="DE260" s="15"/>
      <c r="DH260" s="15"/>
      <c r="DK260" s="15"/>
      <c r="DN260" s="15"/>
      <c r="DQ260" s="15"/>
      <c r="DT260" s="15"/>
      <c r="DW260" s="15"/>
      <c r="DZ260" s="15"/>
      <c r="EC260" s="15"/>
      <c r="EF260" s="15"/>
      <c r="EK260" s="15"/>
      <c r="EM260" s="15"/>
      <c r="EP260" s="15"/>
      <c r="ES260" s="15"/>
      <c r="GB260" s="15"/>
      <c r="GE260" s="15"/>
      <c r="GH260" s="15"/>
      <c r="GK260" s="15"/>
      <c r="GN260" s="15"/>
      <c r="GQ260" s="15"/>
      <c r="GT260" s="15"/>
      <c r="GW260" s="15"/>
      <c r="GZ260" s="15"/>
    </row>
    <row r="261" spans="1:213" outlineLevel="1">
      <c r="A261" s="13" t="s">
        <v>349</v>
      </c>
      <c r="B261" s="1" t="s">
        <v>146</v>
      </c>
      <c r="C261" s="4" t="s">
        <v>147</v>
      </c>
      <c r="D261" s="36"/>
      <c r="E261" s="51"/>
      <c r="F261" s="36"/>
      <c r="G261" s="51"/>
      <c r="H261" s="36"/>
      <c r="I261" s="36"/>
      <c r="J261" s="14"/>
      <c r="K261" t="s">
        <v>332</v>
      </c>
      <c r="L261" s="118">
        <v>1000</v>
      </c>
      <c r="M261" s="17" t="e">
        <f t="shared" si="1284"/>
        <v>#DIV/0!</v>
      </c>
      <c r="N261" s="17" t="e">
        <f>L261/I261-1</f>
        <v>#DIV/0!</v>
      </c>
      <c r="Q261" s="118">
        <f>L261</f>
        <v>1000</v>
      </c>
      <c r="R261" s="15">
        <v>0</v>
      </c>
      <c r="S261" s="118">
        <f>Q261</f>
        <v>1000</v>
      </c>
      <c r="T261" s="15">
        <f t="shared" si="1285"/>
        <v>0</v>
      </c>
      <c r="U261" s="16">
        <f t="shared" si="1286"/>
        <v>0</v>
      </c>
      <c r="Y261" s="118">
        <v>1100</v>
      </c>
      <c r="AA261" s="118">
        <v>1100</v>
      </c>
      <c r="AB261" s="185">
        <f t="shared" si="1287"/>
        <v>0</v>
      </c>
      <c r="AC261" s="187">
        <f t="shared" si="1288"/>
        <v>0</v>
      </c>
      <c r="AD261" s="187"/>
      <c r="AE261" s="118">
        <v>1100</v>
      </c>
      <c r="AF261" s="182"/>
      <c r="AH261" s="15">
        <v>1005</v>
      </c>
      <c r="AI261" s="17">
        <f t="shared" si="1289"/>
        <v>0.91363636363636369</v>
      </c>
      <c r="AX261" s="15"/>
      <c r="BD261" s="15"/>
      <c r="BG261" s="15"/>
      <c r="BM261" s="15">
        <v>1500</v>
      </c>
      <c r="BQ261" s="15"/>
      <c r="BR261" s="15">
        <f t="shared" si="1290"/>
        <v>1500</v>
      </c>
      <c r="BT261" s="15"/>
      <c r="BU261" s="15">
        <f t="shared" si="1291"/>
        <v>1500</v>
      </c>
      <c r="BW261" s="15"/>
      <c r="BX261" s="15">
        <f t="shared" si="1292"/>
        <v>1500</v>
      </c>
      <c r="BZ261" s="15"/>
      <c r="CA261" s="15">
        <f t="shared" si="1293"/>
        <v>1500</v>
      </c>
      <c r="CC261" s="15"/>
      <c r="CD261" s="15">
        <f t="shared" si="1294"/>
        <v>1500</v>
      </c>
      <c r="CF261" s="15"/>
      <c r="CG261" s="15">
        <f t="shared" si="1295"/>
        <v>1500</v>
      </c>
      <c r="CI261" s="15"/>
      <c r="CJ261" s="15">
        <f t="shared" si="1296"/>
        <v>1500</v>
      </c>
      <c r="CM261" s="15">
        <f t="shared" si="1297"/>
        <v>1500</v>
      </c>
      <c r="CP261" s="15">
        <f t="shared" si="1280"/>
        <v>1500</v>
      </c>
      <c r="CS261" s="15">
        <f t="shared" si="1281"/>
        <v>1500</v>
      </c>
      <c r="CV261" s="15">
        <f t="shared" si="1282"/>
        <v>1500</v>
      </c>
      <c r="CY261" s="15">
        <f t="shared" si="1283"/>
        <v>1500</v>
      </c>
      <c r="DA261" s="15">
        <v>0</v>
      </c>
      <c r="DE261" s="15"/>
      <c r="DH261" s="15"/>
      <c r="DK261" s="15"/>
      <c r="DN261" s="15"/>
      <c r="DQ261" s="15"/>
      <c r="DT261" s="15"/>
      <c r="DW261" s="15"/>
      <c r="DZ261" s="15"/>
      <c r="EC261" s="15"/>
      <c r="EF261" s="15"/>
      <c r="EK261" s="15"/>
      <c r="EM261" s="15"/>
      <c r="EP261" s="15"/>
      <c r="ES261" s="15"/>
      <c r="GB261" s="15"/>
      <c r="GE261" s="15"/>
      <c r="GH261" s="15"/>
      <c r="GK261" s="15"/>
      <c r="GN261" s="15"/>
      <c r="GQ261" s="15"/>
      <c r="GT261" s="15"/>
      <c r="GW261" s="15"/>
      <c r="GZ261" s="15"/>
      <c r="HE261" s="15">
        <v>2000</v>
      </c>
    </row>
    <row r="262" spans="1:213" outlineLevel="1">
      <c r="A262" s="13" t="s">
        <v>349</v>
      </c>
      <c r="B262" s="1" t="s">
        <v>220</v>
      </c>
      <c r="C262" s="4" t="s">
        <v>221</v>
      </c>
      <c r="D262" s="36"/>
      <c r="E262" s="51"/>
      <c r="F262" s="36"/>
      <c r="G262" s="51"/>
      <c r="H262" s="36"/>
      <c r="I262" s="36"/>
      <c r="J262" s="14"/>
      <c r="K262" t="s">
        <v>332</v>
      </c>
      <c r="L262" s="118">
        <v>100</v>
      </c>
      <c r="M262" s="17" t="e">
        <f t="shared" si="1284"/>
        <v>#DIV/0!</v>
      </c>
      <c r="N262" s="17" t="e">
        <f>L262/I262-1</f>
        <v>#DIV/0!</v>
      </c>
      <c r="Q262" s="118">
        <f>L262</f>
        <v>100</v>
      </c>
      <c r="R262" s="15">
        <v>0</v>
      </c>
      <c r="S262" s="118">
        <f>Q262</f>
        <v>100</v>
      </c>
      <c r="T262" s="15">
        <f t="shared" si="1285"/>
        <v>0</v>
      </c>
      <c r="U262" s="16">
        <f t="shared" si="1286"/>
        <v>0</v>
      </c>
      <c r="Y262" s="118">
        <v>100</v>
      </c>
      <c r="AA262" s="118">
        <v>100</v>
      </c>
      <c r="AB262" s="185">
        <f t="shared" si="1287"/>
        <v>0</v>
      </c>
      <c r="AC262" s="187">
        <f t="shared" si="1288"/>
        <v>0</v>
      </c>
      <c r="AD262" s="187"/>
      <c r="AE262" s="118">
        <v>100</v>
      </c>
      <c r="AF262" s="182"/>
      <c r="AH262" s="15">
        <v>38</v>
      </c>
      <c r="AI262" s="17">
        <f t="shared" si="1289"/>
        <v>0.38</v>
      </c>
      <c r="AX262" s="15"/>
      <c r="BD262" s="15"/>
      <c r="BG262" s="15"/>
      <c r="BM262" s="15">
        <v>100</v>
      </c>
      <c r="BQ262" s="15"/>
      <c r="BR262" s="15">
        <f t="shared" si="1290"/>
        <v>100</v>
      </c>
      <c r="BT262" s="15"/>
      <c r="BU262" s="15">
        <f t="shared" si="1291"/>
        <v>100</v>
      </c>
      <c r="BW262" s="15"/>
      <c r="BX262" s="15">
        <f t="shared" si="1292"/>
        <v>100</v>
      </c>
      <c r="BZ262" s="15"/>
      <c r="CA262" s="15">
        <f t="shared" si="1293"/>
        <v>100</v>
      </c>
      <c r="CC262" s="15"/>
      <c r="CD262" s="15">
        <f t="shared" si="1294"/>
        <v>100</v>
      </c>
      <c r="CF262" s="15"/>
      <c r="CG262" s="15">
        <f t="shared" si="1295"/>
        <v>100</v>
      </c>
      <c r="CI262" s="15"/>
      <c r="CJ262" s="15">
        <f t="shared" si="1296"/>
        <v>100</v>
      </c>
      <c r="CM262" s="15">
        <f t="shared" si="1297"/>
        <v>100</v>
      </c>
      <c r="CP262" s="15">
        <f t="shared" si="1280"/>
        <v>100</v>
      </c>
      <c r="CS262" s="15">
        <f t="shared" si="1281"/>
        <v>100</v>
      </c>
      <c r="CV262" s="15">
        <f t="shared" si="1282"/>
        <v>100</v>
      </c>
      <c r="CY262" s="15">
        <f t="shared" si="1283"/>
        <v>100</v>
      </c>
      <c r="DA262" s="15">
        <v>0</v>
      </c>
      <c r="DE262" s="15"/>
      <c r="DH262" s="15"/>
      <c r="DK262" s="15"/>
      <c r="DN262" s="15"/>
      <c r="DQ262" s="15"/>
      <c r="DT262" s="15"/>
      <c r="DW262" s="15"/>
      <c r="DZ262" s="15"/>
      <c r="EC262" s="15"/>
      <c r="EF262" s="15"/>
      <c r="EK262" s="15">
        <v>500</v>
      </c>
      <c r="EM262" s="15"/>
      <c r="EN262" s="15">
        <f t="shared" ref="EN262:EN264" si="1308">EK262+EM262</f>
        <v>500</v>
      </c>
      <c r="EP262" s="15"/>
      <c r="EQ262" s="15">
        <f t="shared" ref="EQ262:EQ264" si="1309">EN262+EP262</f>
        <v>500</v>
      </c>
      <c r="ES262" s="15"/>
      <c r="ET262" s="15">
        <f t="shared" ref="ET262:ET264" si="1310">EQ262+ES262</f>
        <v>500</v>
      </c>
      <c r="EW262" s="15">
        <f t="shared" ref="EW262:EW264" si="1311">ET262+EV262</f>
        <v>500</v>
      </c>
      <c r="EZ262" s="15">
        <f t="shared" ref="EZ262:EZ264" si="1312">EW262+EY262</f>
        <v>500</v>
      </c>
      <c r="FC262" s="15">
        <f t="shared" ref="FC262:FC264" si="1313">EZ262+FB262</f>
        <v>500</v>
      </c>
      <c r="FE262" s="227">
        <v>-500</v>
      </c>
      <c r="FF262" s="15">
        <f t="shared" ref="FF262:FF264" si="1314">FC262+FE262</f>
        <v>0</v>
      </c>
      <c r="FI262" s="15">
        <f t="shared" ref="FI262:FI264" si="1315">FF262+FH262</f>
        <v>0</v>
      </c>
      <c r="FL262" s="15">
        <f t="shared" ref="FL262:FL264" si="1316">FI262+FK262</f>
        <v>0</v>
      </c>
      <c r="FO262" s="15">
        <f t="shared" ref="FO262:FO264" si="1317">FL262+FN262</f>
        <v>0</v>
      </c>
      <c r="FR262" s="15">
        <v>0</v>
      </c>
      <c r="FT262" s="15">
        <v>0</v>
      </c>
      <c r="FZ262" s="15">
        <f>FV262+FY262</f>
        <v>0</v>
      </c>
      <c r="GB262" s="15"/>
      <c r="GC262" s="15">
        <f>FZ262+GB262</f>
        <v>0</v>
      </c>
      <c r="GE262" s="15"/>
      <c r="GF262" s="15">
        <f>GC262+GE262</f>
        <v>0</v>
      </c>
      <c r="GH262" s="15"/>
      <c r="GI262" s="15">
        <f>GF262+GH262</f>
        <v>0</v>
      </c>
      <c r="GK262" s="15"/>
      <c r="GL262" s="15">
        <f>GI262+GK262</f>
        <v>0</v>
      </c>
      <c r="GN262" s="15"/>
      <c r="GO262" s="15">
        <f>GL262+GN262</f>
        <v>0</v>
      </c>
      <c r="GQ262" s="15"/>
      <c r="GR262" s="15">
        <f>GO262+GQ262</f>
        <v>0</v>
      </c>
      <c r="GT262" s="15"/>
      <c r="GU262" s="15">
        <f>GR262+GT262</f>
        <v>0</v>
      </c>
      <c r="GW262" s="15"/>
      <c r="GX262" s="15">
        <f>GU262+GW262</f>
        <v>0</v>
      </c>
      <c r="GZ262" s="15"/>
      <c r="HA262" s="189">
        <f>GX262+GZ262</f>
        <v>0</v>
      </c>
      <c r="HE262" s="15">
        <v>500</v>
      </c>
    </row>
    <row r="263" spans="1:213" outlineLevel="1">
      <c r="A263" s="13" t="s">
        <v>349</v>
      </c>
      <c r="B263" s="1" t="s">
        <v>206</v>
      </c>
      <c r="C263" s="4" t="s">
        <v>207</v>
      </c>
      <c r="D263" s="36"/>
      <c r="E263" s="51"/>
      <c r="F263" s="36"/>
      <c r="G263" s="51"/>
      <c r="H263" s="36"/>
      <c r="I263" s="36"/>
      <c r="J263" s="14"/>
      <c r="K263" t="s">
        <v>332</v>
      </c>
      <c r="L263" s="118">
        <v>2000</v>
      </c>
      <c r="M263" s="17" t="e">
        <f t="shared" si="1284"/>
        <v>#DIV/0!</v>
      </c>
      <c r="N263" s="17" t="e">
        <f>L263/I263-1</f>
        <v>#DIV/0!</v>
      </c>
      <c r="Q263" s="118">
        <f>L263</f>
        <v>2000</v>
      </c>
      <c r="R263" s="15">
        <v>0</v>
      </c>
      <c r="S263" s="118">
        <f>Q263</f>
        <v>2000</v>
      </c>
      <c r="T263" s="15">
        <f t="shared" si="1285"/>
        <v>0</v>
      </c>
      <c r="U263" s="16">
        <f t="shared" si="1286"/>
        <v>0</v>
      </c>
      <c r="Y263" s="118">
        <v>2000</v>
      </c>
      <c r="AA263" s="118">
        <v>950</v>
      </c>
      <c r="AB263" s="185">
        <f t="shared" si="1287"/>
        <v>-1050</v>
      </c>
      <c r="AC263" s="187">
        <f t="shared" si="1288"/>
        <v>-1050</v>
      </c>
      <c r="AD263" s="187"/>
      <c r="AE263" s="118">
        <v>950</v>
      </c>
      <c r="AF263" s="182"/>
      <c r="AH263" s="15">
        <v>471</v>
      </c>
      <c r="AI263" s="17">
        <f t="shared" si="1289"/>
        <v>0.4957894736842105</v>
      </c>
      <c r="AX263" s="15"/>
      <c r="BD263" s="15"/>
      <c r="BG263" s="15"/>
      <c r="BM263" s="15">
        <v>700</v>
      </c>
      <c r="BQ263" s="15"/>
      <c r="BR263" s="15">
        <f t="shared" si="1290"/>
        <v>700</v>
      </c>
      <c r="BT263" s="15"/>
      <c r="BU263" s="15">
        <f t="shared" si="1291"/>
        <v>700</v>
      </c>
      <c r="BW263" s="15"/>
      <c r="BX263" s="15">
        <f t="shared" si="1292"/>
        <v>700</v>
      </c>
      <c r="BZ263" s="15"/>
      <c r="CA263" s="15">
        <f t="shared" si="1293"/>
        <v>700</v>
      </c>
      <c r="CC263" s="15"/>
      <c r="CD263" s="15">
        <f t="shared" si="1294"/>
        <v>700</v>
      </c>
      <c r="CF263" s="15"/>
      <c r="CG263" s="15">
        <f t="shared" si="1295"/>
        <v>700</v>
      </c>
      <c r="CI263" s="15"/>
      <c r="CJ263" s="15">
        <f t="shared" si="1296"/>
        <v>700</v>
      </c>
      <c r="CM263" s="15">
        <f t="shared" si="1297"/>
        <v>700</v>
      </c>
      <c r="CP263" s="15">
        <f t="shared" si="1280"/>
        <v>700</v>
      </c>
      <c r="CS263" s="15">
        <f t="shared" si="1281"/>
        <v>700</v>
      </c>
      <c r="CV263" s="15">
        <f t="shared" si="1282"/>
        <v>700</v>
      </c>
      <c r="CY263" s="15">
        <f t="shared" si="1283"/>
        <v>700</v>
      </c>
      <c r="DA263" s="15">
        <v>579</v>
      </c>
      <c r="DE263" s="15"/>
      <c r="DH263" s="15"/>
      <c r="DK263" s="15"/>
      <c r="DN263" s="15"/>
      <c r="DQ263" s="15"/>
      <c r="DT263" s="15"/>
      <c r="DW263" s="15"/>
      <c r="DZ263" s="15"/>
      <c r="EC263" s="15"/>
      <c r="EF263" s="15"/>
      <c r="EK263" s="15">
        <v>1000</v>
      </c>
      <c r="EM263" s="15"/>
      <c r="EN263" s="15">
        <f t="shared" si="1308"/>
        <v>1000</v>
      </c>
      <c r="EP263" s="15"/>
      <c r="EQ263" s="15">
        <f t="shared" si="1309"/>
        <v>1000</v>
      </c>
      <c r="ES263" s="15"/>
      <c r="ET263" s="15">
        <f t="shared" si="1310"/>
        <v>1000</v>
      </c>
      <c r="EW263" s="15">
        <f t="shared" si="1311"/>
        <v>1000</v>
      </c>
      <c r="EZ263" s="15">
        <f t="shared" si="1312"/>
        <v>1000</v>
      </c>
      <c r="FC263" s="15">
        <f t="shared" si="1313"/>
        <v>1000</v>
      </c>
      <c r="FE263" s="227">
        <v>700</v>
      </c>
      <c r="FF263" s="15">
        <f t="shared" si="1314"/>
        <v>1700</v>
      </c>
      <c r="FI263" s="15">
        <f t="shared" si="1315"/>
        <v>1700</v>
      </c>
      <c r="FK263" s="227">
        <v>-11</v>
      </c>
      <c r="FL263" s="15">
        <f t="shared" si="1316"/>
        <v>1689</v>
      </c>
      <c r="FO263" s="15">
        <f t="shared" si="1317"/>
        <v>1689</v>
      </c>
      <c r="FR263" s="15">
        <v>1689</v>
      </c>
      <c r="FT263" s="15">
        <v>1688.4</v>
      </c>
      <c r="FZ263" s="15">
        <f>FV263+FY263</f>
        <v>0</v>
      </c>
      <c r="GB263" s="15"/>
      <c r="GC263" s="15">
        <f>FZ263+GB263</f>
        <v>0</v>
      </c>
      <c r="GE263" s="15"/>
      <c r="GF263" s="15">
        <f>GC263+GE263</f>
        <v>0</v>
      </c>
      <c r="GH263" s="15"/>
      <c r="GI263" s="15">
        <f>GF263+GH263</f>
        <v>0</v>
      </c>
      <c r="GK263" s="15"/>
      <c r="GL263" s="15">
        <f>GI263+GK263</f>
        <v>0</v>
      </c>
      <c r="GN263" s="15"/>
      <c r="GO263" s="15">
        <f>GL263+GN263</f>
        <v>0</v>
      </c>
      <c r="GQ263" s="15"/>
      <c r="GR263" s="15">
        <f>GO263+GQ263</f>
        <v>0</v>
      </c>
      <c r="GT263" s="15"/>
      <c r="GU263" s="15">
        <f>GR263+GT263</f>
        <v>0</v>
      </c>
      <c r="GW263" s="15"/>
      <c r="GX263" s="15">
        <f>GU263+GW263</f>
        <v>0</v>
      </c>
      <c r="GZ263" s="15"/>
      <c r="HA263" s="189">
        <f>GX263+GZ263</f>
        <v>0</v>
      </c>
      <c r="HE263" s="15">
        <v>1500</v>
      </c>
    </row>
    <row r="264" spans="1:213" outlineLevel="1">
      <c r="A264" s="13" t="s">
        <v>349</v>
      </c>
      <c r="B264" s="1" t="s">
        <v>148</v>
      </c>
      <c r="C264" s="4" t="s">
        <v>149</v>
      </c>
      <c r="D264" s="36"/>
      <c r="E264" s="51"/>
      <c r="F264" s="36"/>
      <c r="G264" s="51"/>
      <c r="H264" s="36"/>
      <c r="I264" s="36"/>
      <c r="J264" s="14"/>
      <c r="K264" t="s">
        <v>332</v>
      </c>
      <c r="L264" s="118">
        <v>2000</v>
      </c>
      <c r="M264" s="17" t="e">
        <f t="shared" si="1284"/>
        <v>#DIV/0!</v>
      </c>
      <c r="N264" s="17" t="e">
        <f>L264/I264-1</f>
        <v>#DIV/0!</v>
      </c>
      <c r="Q264" s="118">
        <f>L264</f>
        <v>2000</v>
      </c>
      <c r="R264" s="15">
        <v>0</v>
      </c>
      <c r="S264" s="118">
        <f>Q264</f>
        <v>2000</v>
      </c>
      <c r="T264" s="15">
        <f t="shared" si="1285"/>
        <v>0</v>
      </c>
      <c r="U264" s="16">
        <f t="shared" si="1286"/>
        <v>0</v>
      </c>
      <c r="Y264" s="118">
        <v>2000</v>
      </c>
      <c r="AA264" s="118">
        <v>1100</v>
      </c>
      <c r="AB264" s="185">
        <f t="shared" si="1287"/>
        <v>-900</v>
      </c>
      <c r="AC264" s="187">
        <f t="shared" si="1288"/>
        <v>-900</v>
      </c>
      <c r="AD264" s="187"/>
      <c r="AE264" s="118">
        <v>1100</v>
      </c>
      <c r="AF264" s="182"/>
      <c r="AH264" s="15">
        <v>1044</v>
      </c>
      <c r="AI264" s="17">
        <f t="shared" si="1289"/>
        <v>0.9490909090909091</v>
      </c>
      <c r="AX264" s="15"/>
      <c r="BD264" s="15"/>
      <c r="BG264" s="15"/>
      <c r="BM264" s="15">
        <v>2000</v>
      </c>
      <c r="BQ264" s="15"/>
      <c r="BR264" s="15">
        <f t="shared" si="1290"/>
        <v>2000</v>
      </c>
      <c r="BT264" s="15"/>
      <c r="BU264" s="15">
        <f t="shared" si="1291"/>
        <v>2000</v>
      </c>
      <c r="BW264" s="15"/>
      <c r="BX264" s="15">
        <f t="shared" si="1292"/>
        <v>2000</v>
      </c>
      <c r="BZ264" s="15"/>
      <c r="CA264" s="15">
        <f t="shared" si="1293"/>
        <v>2000</v>
      </c>
      <c r="CC264" s="15"/>
      <c r="CD264" s="15">
        <f t="shared" si="1294"/>
        <v>2000</v>
      </c>
      <c r="CF264" s="15"/>
      <c r="CG264" s="15">
        <f t="shared" si="1295"/>
        <v>2000</v>
      </c>
      <c r="CI264" s="15"/>
      <c r="CJ264" s="15">
        <f t="shared" si="1296"/>
        <v>2000</v>
      </c>
      <c r="CM264" s="15">
        <f t="shared" si="1297"/>
        <v>2000</v>
      </c>
      <c r="CP264" s="15">
        <f t="shared" si="1280"/>
        <v>2000</v>
      </c>
      <c r="CS264" s="15">
        <f t="shared" si="1281"/>
        <v>2000</v>
      </c>
      <c r="CV264" s="15">
        <f t="shared" si="1282"/>
        <v>2000</v>
      </c>
      <c r="CY264" s="15">
        <f t="shared" si="1283"/>
        <v>2000</v>
      </c>
      <c r="DA264" s="15">
        <v>960</v>
      </c>
      <c r="DE264" s="15"/>
      <c r="DH264" s="15"/>
      <c r="DK264" s="15"/>
      <c r="DN264" s="15"/>
      <c r="DQ264" s="15"/>
      <c r="DT264" s="15"/>
      <c r="DW264" s="15"/>
      <c r="DZ264" s="15"/>
      <c r="EC264" s="15"/>
      <c r="EF264" s="15"/>
      <c r="EK264" s="15">
        <v>2000</v>
      </c>
      <c r="EM264" s="15"/>
      <c r="EN264" s="15">
        <f t="shared" si="1308"/>
        <v>2000</v>
      </c>
      <c r="EP264" s="15"/>
      <c r="EQ264" s="15">
        <f t="shared" si="1309"/>
        <v>2000</v>
      </c>
      <c r="ES264" s="15"/>
      <c r="ET264" s="15">
        <f t="shared" si="1310"/>
        <v>2000</v>
      </c>
      <c r="EW264" s="15">
        <f t="shared" si="1311"/>
        <v>2000</v>
      </c>
      <c r="EZ264" s="15">
        <f t="shared" si="1312"/>
        <v>2000</v>
      </c>
      <c r="FC264" s="15">
        <f t="shared" si="1313"/>
        <v>2000</v>
      </c>
      <c r="FE264" s="227">
        <v>250</v>
      </c>
      <c r="FF264" s="15">
        <f t="shared" si="1314"/>
        <v>2250</v>
      </c>
      <c r="FI264" s="15">
        <f t="shared" si="1315"/>
        <v>2250</v>
      </c>
      <c r="FK264" s="227">
        <v>-10</v>
      </c>
      <c r="FL264" s="15">
        <f t="shared" si="1316"/>
        <v>2240</v>
      </c>
      <c r="FO264" s="15">
        <f t="shared" si="1317"/>
        <v>2240</v>
      </c>
      <c r="FR264" s="15">
        <v>2240</v>
      </c>
      <c r="FT264" s="15">
        <v>2240</v>
      </c>
      <c r="FZ264" s="15">
        <f>FV264+FY264</f>
        <v>0</v>
      </c>
      <c r="GB264" s="15"/>
      <c r="GC264" s="15">
        <f>FZ264+GB264</f>
        <v>0</v>
      </c>
      <c r="GE264" s="15"/>
      <c r="GF264" s="15">
        <f>GC264+GE264</f>
        <v>0</v>
      </c>
      <c r="GH264" s="15"/>
      <c r="GI264" s="15">
        <f>GF264+GH264</f>
        <v>0</v>
      </c>
      <c r="GK264" s="15"/>
      <c r="GL264" s="15">
        <f>GI264+GK264</f>
        <v>0</v>
      </c>
      <c r="GN264" s="15"/>
      <c r="GO264" s="15">
        <f>GL264+GN264</f>
        <v>0</v>
      </c>
      <c r="GQ264" s="15"/>
      <c r="GR264" s="15">
        <f>GO264+GQ264</f>
        <v>0</v>
      </c>
      <c r="GT264" s="15"/>
      <c r="GU264" s="15">
        <f>GR264+GT264</f>
        <v>0</v>
      </c>
      <c r="GW264" s="15"/>
      <c r="GX264" s="15">
        <f>GU264+GW264</f>
        <v>0</v>
      </c>
      <c r="GZ264" s="15"/>
      <c r="HA264" s="189">
        <f>GX264+GZ264</f>
        <v>0</v>
      </c>
      <c r="HE264" s="15">
        <v>1500</v>
      </c>
    </row>
    <row r="265" spans="1:213" outlineLevel="1">
      <c r="A265" s="195" t="s">
        <v>349</v>
      </c>
      <c r="B265" s="194" t="s">
        <v>46</v>
      </c>
      <c r="C265" s="4" t="s">
        <v>652</v>
      </c>
      <c r="D265" s="36"/>
      <c r="E265" s="51"/>
      <c r="F265" s="36"/>
      <c r="G265" s="51"/>
      <c r="H265" s="36"/>
      <c r="I265" s="36"/>
      <c r="J265" s="14"/>
      <c r="M265" s="17"/>
      <c r="N265" s="17"/>
      <c r="U265" s="16"/>
      <c r="Y265" s="118"/>
      <c r="AB265" s="185"/>
      <c r="AC265" s="187"/>
      <c r="AD265" s="187"/>
      <c r="AF265" s="182"/>
      <c r="AH265" s="15"/>
      <c r="AI265" s="17"/>
      <c r="AX265" s="15"/>
      <c r="BD265" s="15"/>
      <c r="BG265" s="15"/>
      <c r="DE265" s="15"/>
      <c r="DH265" s="15"/>
      <c r="DK265" s="15"/>
      <c r="DN265" s="15"/>
      <c r="DQ265" s="15"/>
      <c r="DT265" s="15"/>
      <c r="DW265" s="15"/>
      <c r="DZ265" s="15"/>
      <c r="EC265" s="15"/>
      <c r="EF265" s="15"/>
      <c r="EK265" s="15"/>
      <c r="EM265" s="15"/>
      <c r="EP265" s="15"/>
      <c r="ES265" s="15"/>
      <c r="GB265" s="15"/>
      <c r="GE265" s="15"/>
      <c r="GH265" s="15"/>
      <c r="GK265" s="15"/>
      <c r="GN265" s="15"/>
      <c r="GQ265" s="15"/>
      <c r="GT265" s="15"/>
      <c r="GW265" s="15"/>
      <c r="GZ265" s="15"/>
    </row>
    <row r="266" spans="1:213" outlineLevel="1">
      <c r="A266" s="378" t="s">
        <v>219</v>
      </c>
      <c r="B266" s="378" t="s">
        <v>142</v>
      </c>
      <c r="C266" s="379" t="s">
        <v>143</v>
      </c>
      <c r="D266" s="380">
        <v>16000</v>
      </c>
      <c r="E266" s="381">
        <v>73.650000000000006</v>
      </c>
      <c r="F266" s="380">
        <v>36000</v>
      </c>
      <c r="G266" s="381">
        <v>32.729999999999997</v>
      </c>
      <c r="H266" s="382">
        <v>11784</v>
      </c>
      <c r="I266" s="383">
        <v>11784</v>
      </c>
      <c r="J266" s="384"/>
      <c r="K266" s="220"/>
      <c r="L266" s="385"/>
      <c r="M266" s="385"/>
      <c r="N266" s="387"/>
      <c r="O266" s="220"/>
      <c r="P266" s="386"/>
      <c r="Q266" s="220"/>
      <c r="R266" s="220"/>
      <c r="S266" s="385"/>
      <c r="T266" s="220"/>
      <c r="U266" s="386"/>
      <c r="V266" s="220"/>
      <c r="W266" s="220"/>
      <c r="X266" s="386"/>
      <c r="Y266" s="388"/>
      <c r="Z266" s="388"/>
      <c r="AA266" s="220"/>
      <c r="AB266" s="388"/>
      <c r="AC266" s="388"/>
      <c r="AD266" s="220"/>
      <c r="AE266" s="220"/>
      <c r="AF266" s="386"/>
      <c r="AG266" s="220"/>
      <c r="AH266" s="220"/>
      <c r="AI266" s="386"/>
      <c r="AJ266" s="220"/>
      <c r="AK266" s="386"/>
      <c r="AL266" s="220"/>
      <c r="AM266" s="220"/>
      <c r="AN266" s="386"/>
      <c r="AO266" s="220"/>
      <c r="AQ266" s="386"/>
      <c r="AR266" s="220"/>
      <c r="AS266" s="386">
        <v>15000</v>
      </c>
      <c r="AT266" s="220"/>
      <c r="AU266" s="220"/>
      <c r="AV266" s="220"/>
      <c r="AW266" s="220"/>
      <c r="AX266" s="220"/>
      <c r="AY266" s="220"/>
      <c r="AZ266" s="220"/>
      <c r="BA266" s="220"/>
      <c r="BB266" s="220"/>
      <c r="BC266" s="220"/>
      <c r="BD266" s="220"/>
      <c r="BE266" s="220"/>
      <c r="BF266" s="220"/>
      <c r="BG266" s="220"/>
      <c r="BH266" s="220"/>
      <c r="BI266" s="220"/>
      <c r="BJ266" s="220"/>
      <c r="BK266" s="220"/>
      <c r="BL266" s="220"/>
      <c r="BM266" s="220"/>
      <c r="BN266" s="220"/>
      <c r="BO266" s="220"/>
      <c r="BP266" s="220"/>
      <c r="BQ266" s="220"/>
      <c r="BR266" s="220"/>
      <c r="BS266" s="220"/>
      <c r="BT266" s="220"/>
      <c r="BU266" s="220"/>
      <c r="BV266" s="220"/>
      <c r="BW266" s="220"/>
      <c r="BX266" s="220"/>
      <c r="BY266" s="220"/>
      <c r="BZ266" s="220"/>
      <c r="CA266" s="220"/>
      <c r="CB266" s="220"/>
      <c r="CC266" s="220"/>
      <c r="CD266" s="220"/>
      <c r="CE266" s="220"/>
      <c r="CF266" s="220"/>
      <c r="CG266" s="220"/>
      <c r="CH266" s="220"/>
      <c r="CI266" s="220"/>
      <c r="CJ266" s="220"/>
      <c r="CK266" s="220"/>
      <c r="CL266" s="220"/>
      <c r="CM266" s="220"/>
      <c r="CN266" s="220"/>
      <c r="CO266" s="220"/>
      <c r="CP266" s="220"/>
      <c r="CQ266" s="220"/>
      <c r="CR266" s="220"/>
      <c r="CS266" s="220"/>
      <c r="CT266" s="220"/>
      <c r="CU266" s="220"/>
      <c r="CV266" s="220"/>
      <c r="CW266" s="220"/>
      <c r="CX266" s="220"/>
      <c r="CY266" s="220"/>
      <c r="CZ266" s="220"/>
      <c r="DA266" s="220"/>
      <c r="DB266" s="220"/>
      <c r="DC266" s="220"/>
      <c r="DD266" s="220"/>
      <c r="DE266" s="220"/>
      <c r="DF266" s="220"/>
      <c r="DG266" s="220"/>
      <c r="DH266" s="220"/>
      <c r="DI266" s="220"/>
      <c r="DJ266" s="220"/>
      <c r="DK266" s="220"/>
      <c r="DL266" s="220"/>
      <c r="DM266" s="220"/>
      <c r="DN266" s="220"/>
      <c r="DO266" s="220"/>
      <c r="DP266" s="220"/>
      <c r="DQ266" s="220"/>
      <c r="DR266" s="220"/>
      <c r="DS266" s="220"/>
      <c r="DT266" s="220"/>
      <c r="DU266" s="220"/>
      <c r="DV266" s="220"/>
      <c r="DW266" s="220"/>
      <c r="DX266" s="220"/>
      <c r="DY266" s="220"/>
      <c r="DZ266" s="220"/>
      <c r="EA266" s="220"/>
      <c r="EB266" s="220"/>
      <c r="EC266" s="220"/>
      <c r="ED266" s="220"/>
      <c r="EE266" s="220"/>
      <c r="EF266" s="220"/>
      <c r="EG266" s="220"/>
      <c r="EH266" s="220"/>
      <c r="EI266" s="386"/>
      <c r="EJ266" s="220"/>
      <c r="EK266" s="220">
        <v>20000</v>
      </c>
      <c r="EL266" s="220"/>
      <c r="EM266" s="220"/>
      <c r="EN266" s="386">
        <f t="shared" ref="EN266:EN270" si="1318">EK266+EM266</f>
        <v>20000</v>
      </c>
      <c r="EO266" s="220"/>
      <c r="EP266" s="220"/>
      <c r="EQ266" s="386">
        <f t="shared" ref="EQ266:EQ270" si="1319">EN266+EP266</f>
        <v>20000</v>
      </c>
      <c r="ER266" s="220"/>
      <c r="ES266" s="220"/>
      <c r="ET266" s="386">
        <f t="shared" ref="ET266:ET270" si="1320">EQ266+ES266</f>
        <v>20000</v>
      </c>
      <c r="EU266" s="220"/>
      <c r="EV266" s="227">
        <f>10174-20000</f>
        <v>-9826</v>
      </c>
      <c r="EW266" s="386">
        <f t="shared" ref="EW266:EW270" si="1321">ET266+EV266</f>
        <v>10174</v>
      </c>
      <c r="EX266" s="220"/>
      <c r="EY266" s="220"/>
      <c r="EZ266" s="386">
        <f t="shared" ref="EZ266:EZ270" si="1322">EW266+EY266</f>
        <v>10174</v>
      </c>
      <c r="FB266" s="220"/>
      <c r="FC266" s="386">
        <f t="shared" ref="FC266:FC270" si="1323">EZ266+FB266</f>
        <v>10174</v>
      </c>
      <c r="FE266" s="220"/>
      <c r="FF266" s="386">
        <f t="shared" ref="FF266:FF270" si="1324">FC266+FE266</f>
        <v>10174</v>
      </c>
      <c r="FH266" s="220"/>
      <c r="FI266" s="386">
        <f t="shared" ref="FI266:FI270" si="1325">FF266+FH266</f>
        <v>10174</v>
      </c>
      <c r="FK266" s="227">
        <f>8074-10174</f>
        <v>-2100</v>
      </c>
      <c r="FL266" s="386">
        <f t="shared" ref="FL266:FL270" si="1326">FI266+FK266</f>
        <v>8074</v>
      </c>
      <c r="FN266" s="386"/>
      <c r="FO266" s="386">
        <f t="shared" ref="FO266:FO270" si="1327">FL266+FN266</f>
        <v>8074</v>
      </c>
      <c r="FQ266" s="386"/>
      <c r="FR266" s="386">
        <v>8074</v>
      </c>
      <c r="FT266" s="386">
        <v>10174</v>
      </c>
      <c r="FV266" s="386"/>
      <c r="FY266" s="386"/>
      <c r="FZ266" s="386">
        <f>FV266+FY266</f>
        <v>0</v>
      </c>
      <c r="GB266" s="386"/>
      <c r="GC266" s="386">
        <f>FZ266+GB266</f>
        <v>0</v>
      </c>
      <c r="GE266" s="386"/>
      <c r="GF266" s="386">
        <f>GC266+GE266</f>
        <v>0</v>
      </c>
      <c r="GH266" s="386"/>
      <c r="GI266" s="386">
        <f>GF266+GH266</f>
        <v>0</v>
      </c>
      <c r="GK266" s="386"/>
      <c r="GL266" s="386">
        <f>GI266+GK266</f>
        <v>0</v>
      </c>
      <c r="GN266" s="386"/>
      <c r="GO266" s="386">
        <f>GL266+GN266</f>
        <v>0</v>
      </c>
      <c r="GQ266" s="386"/>
      <c r="GR266" s="386">
        <f>GO266+GQ266</f>
        <v>0</v>
      </c>
      <c r="GT266" s="386"/>
      <c r="GU266" s="386">
        <f>GR266+GT266</f>
        <v>0</v>
      </c>
      <c r="GW266" s="386"/>
      <c r="GX266" s="386">
        <f>GU266+GW266</f>
        <v>0</v>
      </c>
      <c r="GZ266" s="386"/>
      <c r="HA266" s="437">
        <f>GX266+GZ266</f>
        <v>0</v>
      </c>
      <c r="HE266" s="386"/>
    </row>
    <row r="267" spans="1:213" outlineLevel="1">
      <c r="A267" s="378" t="s">
        <v>219</v>
      </c>
      <c r="B267" s="378" t="s">
        <v>146</v>
      </c>
      <c r="C267" s="379" t="s">
        <v>147</v>
      </c>
      <c r="D267" s="380">
        <v>2000</v>
      </c>
      <c r="E267" s="381">
        <v>0</v>
      </c>
      <c r="F267" s="380">
        <v>3000</v>
      </c>
      <c r="G267" s="381">
        <v>0</v>
      </c>
      <c r="H267" s="382">
        <v>0</v>
      </c>
      <c r="I267" s="383">
        <v>0</v>
      </c>
      <c r="J267" s="384"/>
      <c r="K267" s="220"/>
      <c r="L267" s="385"/>
      <c r="M267" s="385"/>
      <c r="N267" s="387"/>
      <c r="O267" s="220"/>
      <c r="P267" s="386"/>
      <c r="Q267" s="220"/>
      <c r="R267" s="220"/>
      <c r="S267" s="385"/>
      <c r="T267" s="220"/>
      <c r="U267" s="386"/>
      <c r="V267" s="220"/>
      <c r="W267" s="220"/>
      <c r="X267" s="386"/>
      <c r="Y267" s="388"/>
      <c r="Z267" s="388"/>
      <c r="AA267" s="220"/>
      <c r="AB267" s="388"/>
      <c r="AC267" s="388"/>
      <c r="AD267" s="220"/>
      <c r="AE267" s="220"/>
      <c r="AF267" s="386"/>
      <c r="AG267" s="220"/>
      <c r="AH267" s="220"/>
      <c r="AI267" s="386"/>
      <c r="AJ267" s="220"/>
      <c r="AK267" s="386"/>
      <c r="AL267" s="220"/>
      <c r="AM267" s="220"/>
      <c r="AN267" s="386"/>
      <c r="AO267" s="220"/>
      <c r="AQ267" s="386"/>
      <c r="AR267" s="220"/>
      <c r="AS267" s="386"/>
      <c r="AT267" s="220"/>
      <c r="AU267" s="220"/>
      <c r="AV267" s="220"/>
      <c r="AW267" s="220"/>
      <c r="AX267" s="220"/>
      <c r="AY267" s="220"/>
      <c r="AZ267" s="220"/>
      <c r="BA267" s="220"/>
      <c r="BB267" s="220"/>
      <c r="BC267" s="220"/>
      <c r="BD267" s="220"/>
      <c r="BE267" s="220"/>
      <c r="BF267" s="220"/>
      <c r="BG267" s="220"/>
      <c r="BH267" s="220"/>
      <c r="BI267" s="220"/>
      <c r="BJ267" s="220"/>
      <c r="BK267" s="220"/>
      <c r="BL267" s="220"/>
      <c r="BM267" s="220"/>
      <c r="BN267" s="220"/>
      <c r="BO267" s="220"/>
      <c r="BP267" s="220"/>
      <c r="BQ267" s="220"/>
      <c r="BR267" s="220"/>
      <c r="BS267" s="220"/>
      <c r="BT267" s="220"/>
      <c r="BU267" s="220"/>
      <c r="BV267" s="220"/>
      <c r="BW267" s="220"/>
      <c r="BX267" s="220"/>
      <c r="BY267" s="220"/>
      <c r="BZ267" s="220"/>
      <c r="CA267" s="220"/>
      <c r="CB267" s="220"/>
      <c r="CC267" s="220"/>
      <c r="CD267" s="220"/>
      <c r="CE267" s="220"/>
      <c r="CF267" s="220"/>
      <c r="CG267" s="220"/>
      <c r="CH267" s="220"/>
      <c r="CI267" s="220"/>
      <c r="CJ267" s="220"/>
      <c r="CK267" s="220"/>
      <c r="CL267" s="220"/>
      <c r="CM267" s="220"/>
      <c r="CN267" s="220"/>
      <c r="CO267" s="220"/>
      <c r="CP267" s="220"/>
      <c r="CQ267" s="220"/>
      <c r="CR267" s="220"/>
      <c r="CS267" s="220"/>
      <c r="CT267" s="220"/>
      <c r="CU267" s="220"/>
      <c r="CV267" s="220"/>
      <c r="CW267" s="220"/>
      <c r="CX267" s="220"/>
      <c r="CY267" s="220"/>
      <c r="CZ267" s="220"/>
      <c r="DA267" s="220"/>
      <c r="DB267" s="220"/>
      <c r="DC267" s="220"/>
      <c r="DD267" s="220"/>
      <c r="DE267" s="220"/>
      <c r="DF267" s="220"/>
      <c r="DG267" s="220"/>
      <c r="DH267" s="220"/>
      <c r="DI267" s="220"/>
      <c r="DJ267" s="220"/>
      <c r="DK267" s="220"/>
      <c r="DL267" s="220"/>
      <c r="DM267" s="220"/>
      <c r="DN267" s="220"/>
      <c r="DO267" s="220"/>
      <c r="DP267" s="220"/>
      <c r="DQ267" s="220"/>
      <c r="DR267" s="220"/>
      <c r="DS267" s="220"/>
      <c r="DT267" s="220"/>
      <c r="DU267" s="220"/>
      <c r="DV267" s="220"/>
      <c r="DW267" s="220"/>
      <c r="DX267" s="220"/>
      <c r="DY267" s="220"/>
      <c r="DZ267" s="220"/>
      <c r="EA267" s="220"/>
      <c r="EB267" s="220"/>
      <c r="EC267" s="220"/>
      <c r="ED267" s="220"/>
      <c r="EE267" s="220"/>
      <c r="EF267" s="220"/>
      <c r="EG267" s="220"/>
      <c r="EH267" s="220"/>
      <c r="EI267" s="386"/>
      <c r="EJ267" s="220"/>
      <c r="EK267" s="220"/>
      <c r="EL267" s="220"/>
      <c r="EM267" s="220"/>
      <c r="EN267" s="386">
        <f t="shared" si="1318"/>
        <v>0</v>
      </c>
      <c r="EO267" s="220"/>
      <c r="EP267" s="220"/>
      <c r="EQ267" s="386">
        <f t="shared" si="1319"/>
        <v>0</v>
      </c>
      <c r="ER267" s="220"/>
      <c r="ES267" s="220"/>
      <c r="ET267" s="386">
        <f t="shared" si="1320"/>
        <v>0</v>
      </c>
      <c r="EU267" s="220"/>
      <c r="EV267" s="227">
        <v>202</v>
      </c>
      <c r="EW267" s="386">
        <f t="shared" si="1321"/>
        <v>202</v>
      </c>
      <c r="EX267" s="220"/>
      <c r="EY267" s="220"/>
      <c r="EZ267" s="386">
        <f t="shared" si="1322"/>
        <v>202</v>
      </c>
      <c r="FB267" s="220"/>
      <c r="FC267" s="386">
        <f t="shared" si="1323"/>
        <v>202</v>
      </c>
      <c r="FE267" s="220"/>
      <c r="FF267" s="386">
        <f t="shared" si="1324"/>
        <v>202</v>
      </c>
      <c r="FH267" s="220"/>
      <c r="FI267" s="386">
        <f t="shared" si="1325"/>
        <v>202</v>
      </c>
      <c r="FK267" s="386"/>
      <c r="FL267" s="386">
        <f t="shared" si="1326"/>
        <v>202</v>
      </c>
      <c r="FN267" s="386"/>
      <c r="FO267" s="386">
        <f t="shared" si="1327"/>
        <v>202</v>
      </c>
      <c r="FQ267" s="386"/>
      <c r="FR267" s="386">
        <v>202</v>
      </c>
      <c r="FT267" s="386">
        <v>202</v>
      </c>
      <c r="FV267" s="386"/>
      <c r="FY267" s="386"/>
      <c r="FZ267" s="386">
        <f>FV267+FY267</f>
        <v>0</v>
      </c>
      <c r="GB267" s="386"/>
      <c r="GC267" s="386">
        <f>FZ267+GB267</f>
        <v>0</v>
      </c>
      <c r="GE267" s="386"/>
      <c r="GF267" s="386">
        <f>GC267+GE267</f>
        <v>0</v>
      </c>
      <c r="GH267" s="386"/>
      <c r="GI267" s="386">
        <f>GF267+GH267</f>
        <v>0</v>
      </c>
      <c r="GK267" s="386"/>
      <c r="GL267" s="386">
        <f>GI267+GK267</f>
        <v>0</v>
      </c>
      <c r="GN267" s="386"/>
      <c r="GO267" s="386">
        <f>GL267+GN267</f>
        <v>0</v>
      </c>
      <c r="GQ267" s="386"/>
      <c r="GR267" s="386">
        <f>GO267+GQ267</f>
        <v>0</v>
      </c>
      <c r="GT267" s="386"/>
      <c r="GU267" s="386">
        <f>GR267+GT267</f>
        <v>0</v>
      </c>
      <c r="GW267" s="386"/>
      <c r="GX267" s="386">
        <f>GU267+GW267</f>
        <v>0</v>
      </c>
      <c r="GZ267" s="386"/>
      <c r="HA267" s="437">
        <f>GX267+GZ267</f>
        <v>0</v>
      </c>
      <c r="HE267" s="386"/>
    </row>
    <row r="268" spans="1:213" outlineLevel="1">
      <c r="A268" s="378" t="s">
        <v>219</v>
      </c>
      <c r="B268" s="378" t="s">
        <v>220</v>
      </c>
      <c r="C268" s="379" t="s">
        <v>221</v>
      </c>
      <c r="D268" s="380">
        <v>0</v>
      </c>
      <c r="E268" s="381">
        <v>0</v>
      </c>
      <c r="F268" s="380">
        <v>38</v>
      </c>
      <c r="G268" s="381">
        <v>100</v>
      </c>
      <c r="H268" s="382">
        <v>38</v>
      </c>
      <c r="I268" s="383">
        <v>38</v>
      </c>
      <c r="J268" s="384"/>
      <c r="K268" s="220"/>
      <c r="L268" s="385"/>
      <c r="M268" s="385"/>
      <c r="N268" s="387"/>
      <c r="O268" s="220"/>
      <c r="P268" s="386"/>
      <c r="Q268" s="220"/>
      <c r="R268" s="220"/>
      <c r="S268" s="385"/>
      <c r="T268" s="220"/>
      <c r="U268" s="386"/>
      <c r="V268" s="220"/>
      <c r="W268" s="220"/>
      <c r="X268" s="386"/>
      <c r="Y268" s="388"/>
      <c r="Z268" s="388"/>
      <c r="AA268" s="220"/>
      <c r="AB268" s="388"/>
      <c r="AC268" s="388"/>
      <c r="AD268" s="220"/>
      <c r="AE268" s="220"/>
      <c r="AF268" s="386"/>
      <c r="AG268" s="220"/>
      <c r="AH268" s="220"/>
      <c r="AI268" s="386"/>
      <c r="AJ268" s="220"/>
      <c r="AK268" s="386"/>
      <c r="AL268" s="220"/>
      <c r="AM268" s="220"/>
      <c r="AN268" s="386"/>
      <c r="AO268" s="220"/>
      <c r="AQ268" s="386"/>
      <c r="AR268" s="220"/>
      <c r="AS268" s="386">
        <v>500</v>
      </c>
      <c r="AT268" s="220"/>
      <c r="AU268" s="220"/>
      <c r="AV268" s="220"/>
      <c r="AW268" s="220"/>
      <c r="AX268" s="220"/>
      <c r="AY268" s="220"/>
      <c r="AZ268" s="220"/>
      <c r="BA268" s="220"/>
      <c r="BB268" s="220"/>
      <c r="BC268" s="220"/>
      <c r="BD268" s="220"/>
      <c r="BE268" s="220"/>
      <c r="BF268" s="220"/>
      <c r="BG268" s="220"/>
      <c r="BH268" s="220"/>
      <c r="BI268" s="220"/>
      <c r="BJ268" s="220"/>
      <c r="BK268" s="220"/>
      <c r="BL268" s="220"/>
      <c r="BM268" s="220"/>
      <c r="BN268" s="220"/>
      <c r="BO268" s="220"/>
      <c r="BP268" s="220"/>
      <c r="BQ268" s="220"/>
      <c r="BR268" s="220"/>
      <c r="BS268" s="220"/>
      <c r="BT268" s="220"/>
      <c r="BU268" s="220"/>
      <c r="BV268" s="220"/>
      <c r="BW268" s="220"/>
      <c r="BX268" s="220"/>
      <c r="BY268" s="220"/>
      <c r="BZ268" s="220"/>
      <c r="CA268" s="220"/>
      <c r="CB268" s="220"/>
      <c r="CC268" s="220"/>
      <c r="CD268" s="220"/>
      <c r="CE268" s="220"/>
      <c r="CF268" s="220"/>
      <c r="CG268" s="220"/>
      <c r="CH268" s="220"/>
      <c r="CI268" s="220"/>
      <c r="CJ268" s="220"/>
      <c r="CK268" s="220"/>
      <c r="CL268" s="220"/>
      <c r="CM268" s="220"/>
      <c r="CN268" s="220"/>
      <c r="CO268" s="220"/>
      <c r="CP268" s="220"/>
      <c r="CQ268" s="220"/>
      <c r="CR268" s="220"/>
      <c r="CS268" s="220"/>
      <c r="CT268" s="220"/>
      <c r="CU268" s="220"/>
      <c r="CV268" s="220"/>
      <c r="CW268" s="220"/>
      <c r="CX268" s="220"/>
      <c r="CY268" s="220"/>
      <c r="CZ268" s="220"/>
      <c r="DA268" s="220"/>
      <c r="DB268" s="220"/>
      <c r="DC268" s="220"/>
      <c r="DD268" s="220"/>
      <c r="DE268" s="220"/>
      <c r="DF268" s="220"/>
      <c r="DG268" s="220"/>
      <c r="DH268" s="220"/>
      <c r="DI268" s="220"/>
      <c r="DJ268" s="220"/>
      <c r="DK268" s="220"/>
      <c r="DL268" s="220"/>
      <c r="DM268" s="220"/>
      <c r="DN268" s="220"/>
      <c r="DO268" s="220"/>
      <c r="DP268" s="220"/>
      <c r="DQ268" s="220"/>
      <c r="DR268" s="220"/>
      <c r="DS268" s="220"/>
      <c r="DT268" s="220"/>
      <c r="DU268" s="220"/>
      <c r="DV268" s="220"/>
      <c r="DW268" s="220"/>
      <c r="DX268" s="220"/>
      <c r="DY268" s="220"/>
      <c r="DZ268" s="220"/>
      <c r="EA268" s="220"/>
      <c r="EB268" s="220"/>
      <c r="EC268" s="220"/>
      <c r="ED268" s="220"/>
      <c r="EE268" s="220"/>
      <c r="EF268" s="220"/>
      <c r="EG268" s="220"/>
      <c r="EH268" s="220"/>
      <c r="EI268" s="386"/>
      <c r="EJ268" s="220"/>
      <c r="EK268" s="220">
        <v>500</v>
      </c>
      <c r="EL268" s="220"/>
      <c r="EM268" s="220"/>
      <c r="EN268" s="386">
        <f t="shared" si="1318"/>
        <v>500</v>
      </c>
      <c r="EO268" s="220"/>
      <c r="EP268" s="220"/>
      <c r="EQ268" s="386">
        <f t="shared" si="1319"/>
        <v>500</v>
      </c>
      <c r="ER268" s="220"/>
      <c r="ES268" s="220"/>
      <c r="ET268" s="386">
        <f t="shared" si="1320"/>
        <v>500</v>
      </c>
      <c r="EU268" s="220"/>
      <c r="EV268" s="227">
        <v>-500</v>
      </c>
      <c r="EW268" s="386">
        <f t="shared" si="1321"/>
        <v>0</v>
      </c>
      <c r="EX268" s="220"/>
      <c r="EY268" s="220"/>
      <c r="EZ268" s="386">
        <f t="shared" si="1322"/>
        <v>0</v>
      </c>
      <c r="FB268" s="220"/>
      <c r="FC268" s="386">
        <f t="shared" si="1323"/>
        <v>0</v>
      </c>
      <c r="FE268" s="220"/>
      <c r="FF268" s="386">
        <f t="shared" si="1324"/>
        <v>0</v>
      </c>
      <c r="FH268" s="220"/>
      <c r="FI268" s="386">
        <f t="shared" si="1325"/>
        <v>0</v>
      </c>
      <c r="FK268" s="386"/>
      <c r="FL268" s="386">
        <f t="shared" si="1326"/>
        <v>0</v>
      </c>
      <c r="FN268" s="386"/>
      <c r="FO268" s="386">
        <f t="shared" si="1327"/>
        <v>0</v>
      </c>
      <c r="FQ268" s="386"/>
      <c r="FR268" s="386">
        <v>0</v>
      </c>
      <c r="FT268" s="386"/>
      <c r="FV268" s="386"/>
      <c r="FY268" s="386"/>
      <c r="FZ268" s="386">
        <f>FV268+FY268</f>
        <v>0</v>
      </c>
      <c r="GB268" s="386"/>
      <c r="GC268" s="386">
        <f>FZ268+GB268</f>
        <v>0</v>
      </c>
      <c r="GE268" s="386"/>
      <c r="GF268" s="386">
        <f>GC268+GE268</f>
        <v>0</v>
      </c>
      <c r="GH268" s="386"/>
      <c r="GI268" s="386">
        <f>GF268+GH268</f>
        <v>0</v>
      </c>
      <c r="GK268" s="386"/>
      <c r="GL268" s="386">
        <f>GI268+GK268</f>
        <v>0</v>
      </c>
      <c r="GN268" s="386"/>
      <c r="GO268" s="386">
        <f>GL268+GN268</f>
        <v>0</v>
      </c>
      <c r="GQ268" s="386"/>
      <c r="GR268" s="386">
        <f>GO268+GQ268</f>
        <v>0</v>
      </c>
      <c r="GT268" s="386"/>
      <c r="GU268" s="386">
        <f>GR268+GT268</f>
        <v>0</v>
      </c>
      <c r="GW268" s="386"/>
      <c r="GX268" s="386">
        <f>GU268+GW268</f>
        <v>0</v>
      </c>
      <c r="GZ268" s="386"/>
      <c r="HA268" s="437">
        <f>GX268+GZ268</f>
        <v>0</v>
      </c>
      <c r="HE268" s="386"/>
    </row>
    <row r="269" spans="1:213" outlineLevel="1">
      <c r="A269" s="378" t="s">
        <v>219</v>
      </c>
      <c r="B269" s="378" t="s">
        <v>206</v>
      </c>
      <c r="C269" s="379" t="s">
        <v>207</v>
      </c>
      <c r="D269" s="380">
        <v>5000</v>
      </c>
      <c r="E269" s="381">
        <v>12.82</v>
      </c>
      <c r="F269" s="380">
        <v>9962</v>
      </c>
      <c r="G269" s="381">
        <v>6.43</v>
      </c>
      <c r="H269" s="382">
        <v>641</v>
      </c>
      <c r="I269" s="383">
        <v>641</v>
      </c>
      <c r="J269" s="384"/>
      <c r="K269" s="220"/>
      <c r="L269" s="385"/>
      <c r="M269" s="385"/>
      <c r="N269" s="387"/>
      <c r="O269" s="220"/>
      <c r="P269" s="386"/>
      <c r="Q269" s="220"/>
      <c r="R269" s="220"/>
      <c r="S269" s="385"/>
      <c r="T269" s="220"/>
      <c r="U269" s="386"/>
      <c r="V269" s="220"/>
      <c r="W269" s="220"/>
      <c r="X269" s="386"/>
      <c r="Y269" s="388"/>
      <c r="Z269" s="388"/>
      <c r="AA269" s="220"/>
      <c r="AB269" s="388"/>
      <c r="AC269" s="388"/>
      <c r="AD269" s="220"/>
      <c r="AE269" s="220"/>
      <c r="AF269" s="386"/>
      <c r="AG269" s="220"/>
      <c r="AH269" s="220"/>
      <c r="AI269" s="386"/>
      <c r="AJ269" s="220"/>
      <c r="AK269" s="386"/>
      <c r="AL269" s="220"/>
      <c r="AM269" s="220"/>
      <c r="AN269" s="386"/>
      <c r="AO269" s="220"/>
      <c r="AQ269" s="386"/>
      <c r="AR269" s="220"/>
      <c r="AS269" s="386">
        <v>1500</v>
      </c>
      <c r="AT269" s="220"/>
      <c r="AU269" s="220"/>
      <c r="AV269" s="220"/>
      <c r="AW269" s="220"/>
      <c r="AX269" s="220"/>
      <c r="AY269" s="220"/>
      <c r="AZ269" s="220"/>
      <c r="BA269" s="220"/>
      <c r="BB269" s="220"/>
      <c r="BC269" s="220"/>
      <c r="BD269" s="220"/>
      <c r="BE269" s="220"/>
      <c r="BF269" s="220"/>
      <c r="BG269" s="220"/>
      <c r="BH269" s="220"/>
      <c r="BI269" s="220"/>
      <c r="BJ269" s="220"/>
      <c r="BK269" s="220"/>
      <c r="BL269" s="220"/>
      <c r="BM269" s="220"/>
      <c r="BN269" s="220"/>
      <c r="BO269" s="220"/>
      <c r="BP269" s="220"/>
      <c r="BQ269" s="220"/>
      <c r="BR269" s="220"/>
      <c r="BS269" s="220"/>
      <c r="BT269" s="220"/>
      <c r="BU269" s="220"/>
      <c r="BV269" s="220"/>
      <c r="BW269" s="220"/>
      <c r="BX269" s="220"/>
      <c r="BY269" s="220"/>
      <c r="BZ269" s="220"/>
      <c r="CA269" s="220"/>
      <c r="CB269" s="220"/>
      <c r="CC269" s="220"/>
      <c r="CD269" s="220"/>
      <c r="CE269" s="220"/>
      <c r="CF269" s="220"/>
      <c r="CG269" s="220"/>
      <c r="CH269" s="220"/>
      <c r="CI269" s="220"/>
      <c r="CJ269" s="220"/>
      <c r="CK269" s="220"/>
      <c r="CL269" s="220"/>
      <c r="CM269" s="220"/>
      <c r="CN269" s="220"/>
      <c r="CO269" s="220"/>
      <c r="CP269" s="220"/>
      <c r="CQ269" s="220"/>
      <c r="CR269" s="220"/>
      <c r="CS269" s="220"/>
      <c r="CT269" s="220"/>
      <c r="CU269" s="220"/>
      <c r="CV269" s="220"/>
      <c r="CW269" s="220"/>
      <c r="CX269" s="220"/>
      <c r="CY269" s="220"/>
      <c r="CZ269" s="220"/>
      <c r="DA269" s="220"/>
      <c r="DB269" s="220"/>
      <c r="DC269" s="220"/>
      <c r="DD269" s="220"/>
      <c r="DE269" s="220"/>
      <c r="DF269" s="220"/>
      <c r="DG269" s="220"/>
      <c r="DH269" s="220"/>
      <c r="DI269" s="220"/>
      <c r="DJ269" s="220"/>
      <c r="DK269" s="220"/>
      <c r="DL269" s="220"/>
      <c r="DM269" s="220"/>
      <c r="DN269" s="220"/>
      <c r="DO269" s="220"/>
      <c r="DP269" s="220"/>
      <c r="DQ269" s="220"/>
      <c r="DR269" s="220"/>
      <c r="DS269" s="220"/>
      <c r="DT269" s="220"/>
      <c r="DU269" s="220"/>
      <c r="DV269" s="220"/>
      <c r="DW269" s="220"/>
      <c r="DX269" s="220"/>
      <c r="DY269" s="220"/>
      <c r="DZ269" s="220"/>
      <c r="EA269" s="220"/>
      <c r="EB269" s="220"/>
      <c r="EC269" s="220"/>
      <c r="ED269" s="220"/>
      <c r="EE269" s="220"/>
      <c r="EF269" s="220"/>
      <c r="EG269" s="220"/>
      <c r="EH269" s="220"/>
      <c r="EI269" s="386"/>
      <c r="EJ269" s="220"/>
      <c r="EK269" s="220">
        <v>1000</v>
      </c>
      <c r="EL269" s="220"/>
      <c r="EM269" s="220"/>
      <c r="EN269" s="386">
        <f t="shared" si="1318"/>
        <v>1000</v>
      </c>
      <c r="EO269" s="220"/>
      <c r="EP269" s="220"/>
      <c r="EQ269" s="386">
        <f t="shared" si="1319"/>
        <v>1000</v>
      </c>
      <c r="ER269" s="220"/>
      <c r="ES269" s="220"/>
      <c r="ET269" s="386">
        <f t="shared" si="1320"/>
        <v>1000</v>
      </c>
      <c r="EU269" s="220"/>
      <c r="EV269" s="227">
        <v>180</v>
      </c>
      <c r="EW269" s="386">
        <f t="shared" si="1321"/>
        <v>1180</v>
      </c>
      <c r="EX269" s="220"/>
      <c r="EY269" s="220"/>
      <c r="EZ269" s="386">
        <f t="shared" si="1322"/>
        <v>1180</v>
      </c>
      <c r="FB269" s="220"/>
      <c r="FC269" s="386">
        <f t="shared" si="1323"/>
        <v>1180</v>
      </c>
      <c r="FE269" s="220"/>
      <c r="FF269" s="386">
        <f t="shared" si="1324"/>
        <v>1180</v>
      </c>
      <c r="FH269" s="220"/>
      <c r="FI269" s="386">
        <f t="shared" si="1325"/>
        <v>1180</v>
      </c>
      <c r="FK269" s="386"/>
      <c r="FL269" s="386">
        <f t="shared" si="1326"/>
        <v>1180</v>
      </c>
      <c r="FN269" s="386"/>
      <c r="FO269" s="386">
        <f t="shared" si="1327"/>
        <v>1180</v>
      </c>
      <c r="FQ269" s="386"/>
      <c r="FR269" s="386">
        <v>1180</v>
      </c>
      <c r="FT269" s="386">
        <v>1180</v>
      </c>
      <c r="FV269" s="386"/>
      <c r="FY269" s="386"/>
      <c r="FZ269" s="386">
        <f>FV269+FY269</f>
        <v>0</v>
      </c>
      <c r="GB269" s="386"/>
      <c r="GC269" s="386">
        <f>FZ269+GB269</f>
        <v>0</v>
      </c>
      <c r="GE269" s="386"/>
      <c r="GF269" s="386">
        <f>GC269+GE269</f>
        <v>0</v>
      </c>
      <c r="GH269" s="386"/>
      <c r="GI269" s="386">
        <f>GF269+GH269</f>
        <v>0</v>
      </c>
      <c r="GK269" s="386"/>
      <c r="GL269" s="386">
        <f>GI269+GK269</f>
        <v>0</v>
      </c>
      <c r="GN269" s="386"/>
      <c r="GO269" s="386">
        <f>GL269+GN269</f>
        <v>0</v>
      </c>
      <c r="GQ269" s="386"/>
      <c r="GR269" s="386">
        <f>GO269+GQ269</f>
        <v>0</v>
      </c>
      <c r="GT269" s="386"/>
      <c r="GU269" s="386">
        <f>GR269+GT269</f>
        <v>0</v>
      </c>
      <c r="GW269" s="386"/>
      <c r="GX269" s="386">
        <f>GU269+GW269</f>
        <v>0</v>
      </c>
      <c r="GZ269" s="386"/>
      <c r="HA269" s="437">
        <f>GX269+GZ269</f>
        <v>0</v>
      </c>
      <c r="HE269" s="386"/>
    </row>
    <row r="270" spans="1:213" outlineLevel="1">
      <c r="A270" s="378" t="s">
        <v>219</v>
      </c>
      <c r="B270" s="378" t="s">
        <v>148</v>
      </c>
      <c r="C270" s="379" t="s">
        <v>149</v>
      </c>
      <c r="D270" s="380">
        <v>2000</v>
      </c>
      <c r="E270" s="381">
        <v>41</v>
      </c>
      <c r="F270" s="380">
        <v>5000</v>
      </c>
      <c r="G270" s="381">
        <v>16.399999999999999</v>
      </c>
      <c r="H270" s="382">
        <v>820</v>
      </c>
      <c r="I270" s="383">
        <v>820</v>
      </c>
      <c r="J270" s="384"/>
      <c r="K270" s="220"/>
      <c r="L270" s="385"/>
      <c r="M270" s="385"/>
      <c r="N270" s="387"/>
      <c r="O270" s="220"/>
      <c r="P270" s="386"/>
      <c r="Q270" s="220"/>
      <c r="R270" s="220"/>
      <c r="S270" s="385"/>
      <c r="T270" s="220"/>
      <c r="U270" s="386"/>
      <c r="V270" s="220"/>
      <c r="W270" s="220"/>
      <c r="X270" s="386"/>
      <c r="Y270" s="388"/>
      <c r="Z270" s="388"/>
      <c r="AA270" s="220"/>
      <c r="AB270" s="388"/>
      <c r="AC270" s="388"/>
      <c r="AD270" s="220"/>
      <c r="AE270" s="220"/>
      <c r="AF270" s="386"/>
      <c r="AG270" s="220"/>
      <c r="AH270" s="220"/>
      <c r="AI270" s="386"/>
      <c r="AJ270" s="220"/>
      <c r="AK270" s="386"/>
      <c r="AL270" s="220"/>
      <c r="AM270" s="220"/>
      <c r="AN270" s="386"/>
      <c r="AO270" s="220"/>
      <c r="AQ270" s="386"/>
      <c r="AR270" s="220"/>
      <c r="AS270" s="386">
        <v>2500</v>
      </c>
      <c r="AT270" s="220"/>
      <c r="AU270" s="220"/>
      <c r="AV270" s="220"/>
      <c r="AW270" s="220"/>
      <c r="AX270" s="220"/>
      <c r="AY270" s="220"/>
      <c r="AZ270" s="220"/>
      <c r="BA270" s="220"/>
      <c r="BB270" s="220"/>
      <c r="BC270" s="220"/>
      <c r="BD270" s="220"/>
      <c r="BE270" s="220"/>
      <c r="BF270" s="220"/>
      <c r="BG270" s="220"/>
      <c r="BH270" s="220"/>
      <c r="BI270" s="220"/>
      <c r="BJ270" s="220"/>
      <c r="BK270" s="220"/>
      <c r="BL270" s="220"/>
      <c r="BM270" s="220"/>
      <c r="BN270" s="220"/>
      <c r="BO270" s="220"/>
      <c r="BP270" s="220"/>
      <c r="BQ270" s="220"/>
      <c r="BR270" s="220"/>
      <c r="BS270" s="220"/>
      <c r="BT270" s="220"/>
      <c r="BU270" s="220"/>
      <c r="BV270" s="220"/>
      <c r="BW270" s="220"/>
      <c r="BX270" s="220"/>
      <c r="BY270" s="220"/>
      <c r="BZ270" s="220"/>
      <c r="CA270" s="220"/>
      <c r="CB270" s="220"/>
      <c r="CC270" s="220"/>
      <c r="CD270" s="220"/>
      <c r="CE270" s="220"/>
      <c r="CF270" s="220"/>
      <c r="CG270" s="220"/>
      <c r="CH270" s="220"/>
      <c r="CI270" s="220"/>
      <c r="CJ270" s="220"/>
      <c r="CK270" s="220"/>
      <c r="CL270" s="220"/>
      <c r="CM270" s="220"/>
      <c r="CN270" s="220"/>
      <c r="CO270" s="220"/>
      <c r="CP270" s="220"/>
      <c r="CQ270" s="220"/>
      <c r="CR270" s="220"/>
      <c r="CS270" s="220"/>
      <c r="CT270" s="220"/>
      <c r="CU270" s="220"/>
      <c r="CV270" s="220"/>
      <c r="CW270" s="220"/>
      <c r="CX270" s="220"/>
      <c r="CY270" s="220"/>
      <c r="CZ270" s="220"/>
      <c r="DA270" s="220"/>
      <c r="DB270" s="220"/>
      <c r="DC270" s="220"/>
      <c r="DD270" s="220"/>
      <c r="DE270" s="220"/>
      <c r="DF270" s="220"/>
      <c r="DG270" s="220"/>
      <c r="DH270" s="220"/>
      <c r="DI270" s="220"/>
      <c r="DJ270" s="220"/>
      <c r="DK270" s="220"/>
      <c r="DL270" s="220"/>
      <c r="DM270" s="220"/>
      <c r="DN270" s="220"/>
      <c r="DO270" s="220"/>
      <c r="DP270" s="220"/>
      <c r="DQ270" s="220"/>
      <c r="DR270" s="220"/>
      <c r="DS270" s="220"/>
      <c r="DT270" s="220"/>
      <c r="DU270" s="220"/>
      <c r="DV270" s="220"/>
      <c r="DW270" s="220"/>
      <c r="DX270" s="220"/>
      <c r="DY270" s="220"/>
      <c r="DZ270" s="220"/>
      <c r="EA270" s="220"/>
      <c r="EB270" s="220"/>
      <c r="EC270" s="220"/>
      <c r="ED270" s="220"/>
      <c r="EE270" s="220"/>
      <c r="EF270" s="220"/>
      <c r="EG270" s="220"/>
      <c r="EH270" s="220"/>
      <c r="EI270" s="386"/>
      <c r="EJ270" s="220"/>
      <c r="EK270" s="220">
        <v>2000</v>
      </c>
      <c r="EL270" s="220"/>
      <c r="EM270" s="220"/>
      <c r="EN270" s="386">
        <f t="shared" si="1318"/>
        <v>2000</v>
      </c>
      <c r="EO270" s="220"/>
      <c r="EP270" s="220"/>
      <c r="EQ270" s="386">
        <f t="shared" si="1319"/>
        <v>2000</v>
      </c>
      <c r="ER270" s="220"/>
      <c r="ES270" s="220"/>
      <c r="ET270" s="386">
        <f t="shared" si="1320"/>
        <v>2000</v>
      </c>
      <c r="EU270" s="220"/>
      <c r="EV270" s="227">
        <f>560-2000</f>
        <v>-1440</v>
      </c>
      <c r="EW270" s="386">
        <f t="shared" si="1321"/>
        <v>560</v>
      </c>
      <c r="EX270" s="220"/>
      <c r="EY270" s="220"/>
      <c r="EZ270" s="386">
        <f t="shared" si="1322"/>
        <v>560</v>
      </c>
      <c r="FB270" s="220"/>
      <c r="FC270" s="386">
        <f t="shared" si="1323"/>
        <v>560</v>
      </c>
      <c r="FE270" s="220"/>
      <c r="FF270" s="386">
        <f t="shared" si="1324"/>
        <v>560</v>
      </c>
      <c r="FH270" s="220"/>
      <c r="FI270" s="386">
        <f t="shared" si="1325"/>
        <v>560</v>
      </c>
      <c r="FK270" s="386"/>
      <c r="FL270" s="386">
        <f t="shared" si="1326"/>
        <v>560</v>
      </c>
      <c r="FN270" s="386"/>
      <c r="FO270" s="386">
        <f t="shared" si="1327"/>
        <v>560</v>
      </c>
      <c r="FQ270" s="386"/>
      <c r="FR270" s="386">
        <v>560</v>
      </c>
      <c r="FT270" s="386">
        <v>560</v>
      </c>
      <c r="FV270" s="386"/>
      <c r="FY270" s="386"/>
      <c r="FZ270" s="386">
        <f>FV270+FY270</f>
        <v>0</v>
      </c>
      <c r="GB270" s="386"/>
      <c r="GC270" s="386">
        <f>FZ270+GB270</f>
        <v>0</v>
      </c>
      <c r="GE270" s="386"/>
      <c r="GF270" s="386">
        <f>GC270+GE270</f>
        <v>0</v>
      </c>
      <c r="GH270" s="386"/>
      <c r="GI270" s="386">
        <f>GF270+GH270</f>
        <v>0</v>
      </c>
      <c r="GK270" s="386"/>
      <c r="GL270" s="386">
        <f>GI270+GK270</f>
        <v>0</v>
      </c>
      <c r="GN270" s="386"/>
      <c r="GO270" s="386">
        <f>GL270+GN270</f>
        <v>0</v>
      </c>
      <c r="GQ270" s="386"/>
      <c r="GR270" s="386">
        <f>GO270+GQ270</f>
        <v>0</v>
      </c>
      <c r="GT270" s="386"/>
      <c r="GU270" s="386">
        <f>GR270+GT270</f>
        <v>0</v>
      </c>
      <c r="GW270" s="386"/>
      <c r="GX270" s="386">
        <f>GU270+GW270</f>
        <v>0</v>
      </c>
      <c r="GZ270" s="386"/>
      <c r="HA270" s="437">
        <f>GX270+GZ270</f>
        <v>0</v>
      </c>
      <c r="HE270" s="386"/>
    </row>
    <row r="271" spans="1:213" outlineLevel="1">
      <c r="A271" s="378" t="s">
        <v>219</v>
      </c>
      <c r="B271" s="379" t="s">
        <v>46</v>
      </c>
      <c r="C271" s="379" t="s">
        <v>222</v>
      </c>
      <c r="D271" s="380">
        <v>25000</v>
      </c>
      <c r="E271" s="381">
        <v>53.13</v>
      </c>
      <c r="F271" s="380">
        <v>54000</v>
      </c>
      <c r="G271" s="381">
        <v>24.6</v>
      </c>
      <c r="H271" s="382">
        <v>13283</v>
      </c>
      <c r="I271" s="383">
        <v>13283</v>
      </c>
      <c r="J271" s="384"/>
      <c r="K271" s="220"/>
      <c r="L271" s="385"/>
      <c r="M271" s="385"/>
      <c r="N271" s="387"/>
      <c r="O271" s="220"/>
      <c r="P271" s="386"/>
      <c r="Q271" s="220"/>
      <c r="R271" s="220"/>
      <c r="S271" s="385"/>
      <c r="T271" s="220"/>
      <c r="U271" s="386"/>
      <c r="V271" s="220"/>
      <c r="W271" s="220"/>
      <c r="X271" s="386"/>
      <c r="Y271" s="388"/>
      <c r="Z271" s="388"/>
      <c r="AA271" s="220"/>
      <c r="AB271" s="388"/>
      <c r="AC271" s="388"/>
      <c r="AD271" s="220"/>
      <c r="AE271" s="220"/>
      <c r="AF271" s="386"/>
      <c r="AG271" s="220"/>
      <c r="AH271" s="220"/>
      <c r="AI271" s="386"/>
      <c r="AJ271" s="220"/>
      <c r="AK271" s="386"/>
      <c r="AL271" s="220"/>
      <c r="AM271" s="220"/>
      <c r="AN271" s="386"/>
      <c r="AO271" s="220"/>
      <c r="AQ271" s="386"/>
      <c r="AR271" s="220"/>
      <c r="AS271" s="386"/>
      <c r="AT271" s="220"/>
      <c r="AU271" s="220"/>
      <c r="AV271" s="220"/>
      <c r="AW271" s="220"/>
      <c r="AX271" s="220"/>
      <c r="AY271" s="220"/>
      <c r="AZ271" s="220"/>
      <c r="BA271" s="220"/>
      <c r="BB271" s="220"/>
      <c r="BC271" s="220"/>
      <c r="BD271" s="220"/>
      <c r="BE271" s="220"/>
      <c r="BF271" s="220"/>
      <c r="BG271" s="220"/>
      <c r="BH271" s="220"/>
      <c r="BI271" s="220"/>
      <c r="BJ271" s="220"/>
      <c r="BK271" s="220"/>
      <c r="BL271" s="220"/>
      <c r="BM271" s="220"/>
      <c r="BN271" s="220"/>
      <c r="BO271" s="220"/>
      <c r="BP271" s="220"/>
      <c r="BQ271" s="220"/>
      <c r="BR271" s="220"/>
      <c r="BS271" s="220"/>
      <c r="BT271" s="220"/>
      <c r="BU271" s="220"/>
      <c r="BV271" s="220"/>
      <c r="BW271" s="220"/>
      <c r="BX271" s="220"/>
      <c r="BY271" s="220"/>
      <c r="BZ271" s="220"/>
      <c r="CA271" s="220"/>
      <c r="CB271" s="220"/>
      <c r="CC271" s="220"/>
      <c r="CD271" s="220"/>
      <c r="CE271" s="220"/>
      <c r="CF271" s="220"/>
      <c r="CG271" s="220"/>
      <c r="CH271" s="220"/>
      <c r="CI271" s="220"/>
      <c r="CJ271" s="220"/>
      <c r="CK271" s="220"/>
      <c r="CL271" s="220"/>
      <c r="CM271" s="220"/>
      <c r="CN271" s="220"/>
      <c r="CO271" s="220"/>
      <c r="CP271" s="220"/>
      <c r="CQ271" s="220"/>
      <c r="CR271" s="220"/>
      <c r="CS271" s="220"/>
      <c r="CT271" s="220"/>
      <c r="CU271" s="220"/>
      <c r="CV271" s="220"/>
      <c r="CW271" s="220"/>
      <c r="CX271" s="220"/>
      <c r="CY271" s="220"/>
      <c r="CZ271" s="220"/>
      <c r="DA271" s="220"/>
      <c r="DB271" s="220"/>
      <c r="DC271" s="220"/>
      <c r="DD271" s="220"/>
      <c r="DE271" s="220"/>
      <c r="DF271" s="220"/>
      <c r="DG271" s="220"/>
      <c r="DH271" s="220"/>
      <c r="DI271" s="220"/>
      <c r="DJ271" s="220"/>
      <c r="DK271" s="220"/>
      <c r="DL271" s="220"/>
      <c r="DM271" s="220"/>
      <c r="DN271" s="220"/>
      <c r="DO271" s="220"/>
      <c r="DP271" s="220"/>
      <c r="DQ271" s="220"/>
      <c r="DR271" s="220"/>
      <c r="DS271" s="220"/>
      <c r="DT271" s="220"/>
      <c r="DU271" s="220"/>
      <c r="DV271" s="220"/>
      <c r="DW271" s="220"/>
      <c r="DX271" s="220"/>
      <c r="DY271" s="220"/>
      <c r="DZ271" s="220"/>
      <c r="EA271" s="220"/>
      <c r="EB271" s="220"/>
      <c r="EC271" s="220"/>
      <c r="ED271" s="220"/>
      <c r="EE271" s="220"/>
      <c r="EF271" s="220"/>
      <c r="EG271" s="220"/>
      <c r="EH271" s="220"/>
      <c r="EI271" s="386"/>
      <c r="EJ271" s="220"/>
      <c r="EK271" s="220"/>
      <c r="EL271" s="220"/>
      <c r="EM271" s="220"/>
      <c r="EN271" s="220"/>
      <c r="EO271" s="220"/>
      <c r="EP271" s="220"/>
      <c r="EQ271" s="220"/>
      <c r="ER271" s="220"/>
      <c r="ES271" s="220"/>
      <c r="ET271" s="220"/>
      <c r="EU271" s="220"/>
      <c r="EV271" s="220"/>
      <c r="EW271" s="220"/>
      <c r="EX271" s="220"/>
      <c r="EY271" s="220"/>
      <c r="EZ271" s="220"/>
      <c r="FB271" s="220"/>
      <c r="FC271" s="220"/>
      <c r="FE271" s="220"/>
      <c r="FF271" s="220"/>
      <c r="FH271" s="220"/>
      <c r="FI271" s="220"/>
      <c r="FK271" s="386"/>
      <c r="FL271" s="220"/>
      <c r="FN271" s="386"/>
      <c r="FO271" s="220"/>
      <c r="FQ271" s="386"/>
      <c r="FR271" s="220"/>
      <c r="FT271" s="386"/>
      <c r="FV271" s="386"/>
      <c r="FY271" s="386"/>
      <c r="FZ271" s="220"/>
      <c r="GB271" s="386"/>
      <c r="GC271" s="220"/>
      <c r="GE271" s="386"/>
      <c r="GF271" s="220"/>
      <c r="GH271" s="386"/>
      <c r="GI271" s="220"/>
      <c r="GK271" s="386"/>
      <c r="GL271" s="220"/>
      <c r="GN271" s="386"/>
      <c r="GO271" s="220"/>
      <c r="GQ271" s="386"/>
      <c r="GR271" s="220"/>
      <c r="GT271" s="386"/>
      <c r="GU271" s="220"/>
      <c r="GW271" s="386"/>
      <c r="GX271" s="220"/>
      <c r="GZ271" s="386"/>
      <c r="HA271" s="437"/>
      <c r="HE271" s="386"/>
    </row>
    <row r="272" spans="1:213" outlineLevel="1">
      <c r="A272" s="13" t="s">
        <v>580</v>
      </c>
      <c r="B272" s="332" t="s">
        <v>183</v>
      </c>
      <c r="C272" s="4" t="s">
        <v>184</v>
      </c>
      <c r="D272" s="36"/>
      <c r="E272" s="51"/>
      <c r="F272" s="36"/>
      <c r="G272" s="51"/>
      <c r="H272" s="36"/>
      <c r="I272" s="36"/>
      <c r="J272" s="14"/>
      <c r="M272" s="17"/>
      <c r="N272" s="17"/>
      <c r="U272" s="16"/>
      <c r="Y272" s="118"/>
      <c r="AB272" s="185"/>
      <c r="AC272" s="187"/>
      <c r="AD272" s="187"/>
      <c r="AF272" s="182"/>
      <c r="AH272" s="15"/>
      <c r="AI272" s="17"/>
      <c r="AX272" s="15"/>
      <c r="BD272" s="15"/>
      <c r="BG272" s="15"/>
      <c r="DC272" s="15">
        <v>2000</v>
      </c>
      <c r="DE272" s="15"/>
      <c r="DF272" s="15">
        <f t="shared" ref="DF272:DF276" si="1328">DC272+DE272</f>
        <v>2000</v>
      </c>
      <c r="DH272" s="15"/>
      <c r="DI272" s="15">
        <f t="shared" ref="DI272:DI276" si="1329">DF272+DH272</f>
        <v>2000</v>
      </c>
      <c r="DK272" s="15"/>
      <c r="DL272" s="15">
        <f t="shared" ref="DL272:DL276" si="1330">DI272+DK272</f>
        <v>2000</v>
      </c>
      <c r="DN272" s="15"/>
      <c r="DO272" s="15">
        <f t="shared" ref="DO272:DO276" si="1331">DL272+DN272</f>
        <v>2000</v>
      </c>
      <c r="DQ272" s="227">
        <v>-2000</v>
      </c>
      <c r="DR272" s="15">
        <f t="shared" ref="DR272:DR276" si="1332">DO272+DQ272</f>
        <v>0</v>
      </c>
      <c r="DT272" s="15"/>
      <c r="DU272" s="15">
        <f t="shared" ref="DU272:DU276" si="1333">DR272+DT272</f>
        <v>0</v>
      </c>
      <c r="DW272" s="15"/>
      <c r="DX272" s="15">
        <f t="shared" ref="DX272:DX276" si="1334">DU272+DW272</f>
        <v>0</v>
      </c>
      <c r="DZ272" s="15"/>
      <c r="EA272" s="15">
        <f t="shared" ref="EA272:EA276" si="1335">DX272+DZ272</f>
        <v>0</v>
      </c>
      <c r="EC272" s="15"/>
      <c r="ED272" s="15">
        <f t="shared" ref="ED272:ED276" si="1336">EA272+EC272</f>
        <v>0</v>
      </c>
      <c r="EF272" s="15"/>
      <c r="EG272" s="15">
        <f t="shared" ref="EG272:EG276" si="1337">ED272+EF272</f>
        <v>0</v>
      </c>
      <c r="EK272" s="15"/>
      <c r="EM272" s="15"/>
      <c r="EN272" s="15">
        <f t="shared" ref="EN272:EN276" si="1338">EK272+EM272</f>
        <v>0</v>
      </c>
      <c r="EP272" s="15"/>
      <c r="EQ272" s="15">
        <f t="shared" ref="EQ272:EQ276" si="1339">EN272+EP272</f>
        <v>0</v>
      </c>
      <c r="ES272" s="15"/>
      <c r="ET272" s="15">
        <f t="shared" ref="ET272:ET276" si="1340">EQ272+ES272</f>
        <v>0</v>
      </c>
      <c r="EW272" s="15">
        <f t="shared" ref="EW272:EW276" si="1341">ET272+EV272</f>
        <v>0</v>
      </c>
      <c r="EZ272" s="15">
        <f t="shared" ref="EZ272:EZ276" si="1342">EW272+EY272</f>
        <v>0</v>
      </c>
      <c r="FC272" s="15">
        <f t="shared" ref="FC272:FC276" si="1343">EZ272+FB272</f>
        <v>0</v>
      </c>
      <c r="FF272" s="15">
        <f t="shared" ref="FF272:FF276" si="1344">FC272+FE272</f>
        <v>0</v>
      </c>
      <c r="FI272" s="15">
        <f t="shared" ref="FI272:FI276" si="1345">FF272+FH272</f>
        <v>0</v>
      </c>
      <c r="FL272" s="15">
        <f t="shared" ref="FL272:FL276" si="1346">FI272+FK272</f>
        <v>0</v>
      </c>
      <c r="FO272" s="15">
        <f t="shared" ref="FO272:FO276" si="1347">FL272+FN272</f>
        <v>0</v>
      </c>
      <c r="FR272" s="15">
        <v>0</v>
      </c>
      <c r="FZ272" s="15">
        <f>FV272+FY272</f>
        <v>0</v>
      </c>
      <c r="GB272" s="15"/>
      <c r="GC272" s="15">
        <f>FZ272+GB272</f>
        <v>0</v>
      </c>
      <c r="GE272" s="15"/>
      <c r="GF272" s="15">
        <f>GC272+GE272</f>
        <v>0</v>
      </c>
      <c r="GH272" s="15"/>
      <c r="GI272" s="15">
        <f>GF272+GH272</f>
        <v>0</v>
      </c>
      <c r="GK272" s="15"/>
      <c r="GL272" s="15">
        <f>GI272+GK272</f>
        <v>0</v>
      </c>
      <c r="GN272" s="15"/>
      <c r="GO272" s="15">
        <f>GL272+GN272</f>
        <v>0</v>
      </c>
      <c r="GQ272" s="15"/>
      <c r="GR272" s="15">
        <f>GO272+GQ272</f>
        <v>0</v>
      </c>
      <c r="GT272" s="15"/>
      <c r="GU272" s="15">
        <f>GR272+GT272</f>
        <v>0</v>
      </c>
      <c r="GW272" s="15"/>
      <c r="GX272" s="15">
        <f>GU272+GW272</f>
        <v>0</v>
      </c>
      <c r="GZ272" s="15"/>
      <c r="HA272" s="189">
        <f>GX272+GZ272</f>
        <v>0</v>
      </c>
    </row>
    <row r="273" spans="1:214" outlineLevel="1">
      <c r="A273" s="13" t="s">
        <v>580</v>
      </c>
      <c r="B273" s="1" t="s">
        <v>142</v>
      </c>
      <c r="C273" s="4" t="s">
        <v>143</v>
      </c>
      <c r="D273" s="36"/>
      <c r="E273" s="51"/>
      <c r="F273" s="36"/>
      <c r="G273" s="51"/>
      <c r="H273" s="36"/>
      <c r="I273" s="36"/>
      <c r="J273" s="14"/>
      <c r="M273" s="17"/>
      <c r="N273" s="17"/>
      <c r="U273" s="16"/>
      <c r="Y273" s="118"/>
      <c r="AB273" s="185"/>
      <c r="AC273" s="187"/>
      <c r="AD273" s="187"/>
      <c r="AF273" s="182"/>
      <c r="AH273" s="15"/>
      <c r="AI273" s="17"/>
      <c r="AX273" s="15"/>
      <c r="BD273" s="15"/>
      <c r="BG273" s="15"/>
      <c r="DC273" s="15">
        <v>10000</v>
      </c>
      <c r="DE273" s="15"/>
      <c r="DF273" s="15">
        <f t="shared" si="1328"/>
        <v>10000</v>
      </c>
      <c r="DH273" s="227">
        <v>3725</v>
      </c>
      <c r="DI273" s="15">
        <f t="shared" si="1329"/>
        <v>13725</v>
      </c>
      <c r="DK273" s="15"/>
      <c r="DL273" s="15">
        <f t="shared" si="1330"/>
        <v>13725</v>
      </c>
      <c r="DN273" s="15"/>
      <c r="DO273" s="15">
        <f t="shared" si="1331"/>
        <v>13725</v>
      </c>
      <c r="DQ273" s="15"/>
      <c r="DR273" s="15">
        <f t="shared" si="1332"/>
        <v>13725</v>
      </c>
      <c r="DT273" s="15"/>
      <c r="DU273" s="15">
        <f t="shared" si="1333"/>
        <v>13725</v>
      </c>
      <c r="DW273" s="15"/>
      <c r="DX273" s="15">
        <f t="shared" si="1334"/>
        <v>13725</v>
      </c>
      <c r="DZ273" s="15"/>
      <c r="EA273" s="15">
        <f t="shared" si="1335"/>
        <v>13725</v>
      </c>
      <c r="EC273" s="15"/>
      <c r="ED273" s="15">
        <f t="shared" si="1336"/>
        <v>13725</v>
      </c>
      <c r="EF273" s="15"/>
      <c r="EG273" s="15">
        <f t="shared" si="1337"/>
        <v>13725</v>
      </c>
      <c r="EI273" s="15">
        <v>13725</v>
      </c>
      <c r="EK273" s="15"/>
      <c r="EM273" s="15"/>
      <c r="EN273" s="15">
        <f t="shared" si="1338"/>
        <v>0</v>
      </c>
      <c r="EP273" s="15"/>
      <c r="EQ273" s="15">
        <f t="shared" si="1339"/>
        <v>0</v>
      </c>
      <c r="ES273" s="15"/>
      <c r="ET273" s="15">
        <f t="shared" si="1340"/>
        <v>0</v>
      </c>
      <c r="EW273" s="15">
        <f t="shared" si="1341"/>
        <v>0</v>
      </c>
      <c r="EZ273" s="15">
        <f t="shared" si="1342"/>
        <v>0</v>
      </c>
      <c r="FC273" s="15">
        <f t="shared" si="1343"/>
        <v>0</v>
      </c>
      <c r="FF273" s="15">
        <f t="shared" si="1344"/>
        <v>0</v>
      </c>
      <c r="FI273" s="15">
        <f t="shared" si="1345"/>
        <v>0</v>
      </c>
      <c r="FL273" s="15">
        <f t="shared" si="1346"/>
        <v>0</v>
      </c>
      <c r="FO273" s="15">
        <f t="shared" si="1347"/>
        <v>0</v>
      </c>
      <c r="FR273" s="15">
        <v>0</v>
      </c>
      <c r="FZ273" s="15">
        <f>FV273+FY273</f>
        <v>0</v>
      </c>
      <c r="GB273" s="15"/>
      <c r="GC273" s="15">
        <f>FZ273+GB273</f>
        <v>0</v>
      </c>
      <c r="GE273" s="15"/>
      <c r="GF273" s="15">
        <f>GC273+GE273</f>
        <v>0</v>
      </c>
      <c r="GH273" s="15"/>
      <c r="GI273" s="15">
        <f>GF273+GH273</f>
        <v>0</v>
      </c>
      <c r="GK273" s="15"/>
      <c r="GL273" s="15">
        <f>GI273+GK273</f>
        <v>0</v>
      </c>
      <c r="GN273" s="15"/>
      <c r="GO273" s="15">
        <f>GL273+GN273</f>
        <v>0</v>
      </c>
      <c r="GQ273" s="15"/>
      <c r="GR273" s="15">
        <f>GO273+GQ273</f>
        <v>0</v>
      </c>
      <c r="GT273" s="15"/>
      <c r="GU273" s="15">
        <f>GR273+GT273</f>
        <v>0</v>
      </c>
      <c r="GW273" s="15"/>
      <c r="GX273" s="15">
        <f>GU273+GW273</f>
        <v>0</v>
      </c>
      <c r="GZ273" s="15"/>
      <c r="HA273" s="189">
        <f>GX273+GZ273</f>
        <v>0</v>
      </c>
    </row>
    <row r="274" spans="1:214" outlineLevel="1">
      <c r="A274" s="13" t="s">
        <v>580</v>
      </c>
      <c r="B274" s="1" t="s">
        <v>220</v>
      </c>
      <c r="C274" s="4" t="s">
        <v>221</v>
      </c>
      <c r="D274" s="36"/>
      <c r="E274" s="51"/>
      <c r="F274" s="36"/>
      <c r="G274" s="51"/>
      <c r="H274" s="36"/>
      <c r="I274" s="36"/>
      <c r="J274" s="14"/>
      <c r="M274" s="17"/>
      <c r="N274" s="17"/>
      <c r="U274" s="16"/>
      <c r="Y274" s="118"/>
      <c r="AB274" s="185"/>
      <c r="AC274" s="187"/>
      <c r="AD274" s="187"/>
      <c r="AF274" s="182"/>
      <c r="AH274" s="15"/>
      <c r="AI274" s="17"/>
      <c r="AX274" s="15"/>
      <c r="BD274" s="15"/>
      <c r="BG274" s="15"/>
      <c r="DC274" s="15">
        <v>500</v>
      </c>
      <c r="DE274" s="15"/>
      <c r="DF274" s="15">
        <f t="shared" si="1328"/>
        <v>500</v>
      </c>
      <c r="DH274" s="15"/>
      <c r="DI274" s="15">
        <f t="shared" si="1329"/>
        <v>500</v>
      </c>
      <c r="DK274" s="15"/>
      <c r="DL274" s="15">
        <f t="shared" si="1330"/>
        <v>500</v>
      </c>
      <c r="DN274" s="15"/>
      <c r="DO274" s="15">
        <f t="shared" si="1331"/>
        <v>500</v>
      </c>
      <c r="DQ274" s="227">
        <v>-100</v>
      </c>
      <c r="DR274" s="15">
        <f t="shared" si="1332"/>
        <v>400</v>
      </c>
      <c r="DT274" s="15"/>
      <c r="DU274" s="15">
        <f t="shared" si="1333"/>
        <v>400</v>
      </c>
      <c r="DW274" s="15"/>
      <c r="DX274" s="15">
        <f t="shared" si="1334"/>
        <v>400</v>
      </c>
      <c r="DZ274" s="15"/>
      <c r="EA274" s="15">
        <f t="shared" si="1335"/>
        <v>400</v>
      </c>
      <c r="EC274" s="15"/>
      <c r="ED274" s="15">
        <f t="shared" si="1336"/>
        <v>400</v>
      </c>
      <c r="EF274" s="15"/>
      <c r="EG274" s="15">
        <f t="shared" si="1337"/>
        <v>400</v>
      </c>
      <c r="EI274" s="15">
        <v>392</v>
      </c>
      <c r="EK274" s="15"/>
      <c r="EM274" s="15"/>
      <c r="EN274" s="15">
        <f t="shared" si="1338"/>
        <v>0</v>
      </c>
      <c r="EP274" s="15"/>
      <c r="EQ274" s="15">
        <f t="shared" si="1339"/>
        <v>0</v>
      </c>
      <c r="ES274" s="15"/>
      <c r="ET274" s="15">
        <f t="shared" si="1340"/>
        <v>0</v>
      </c>
      <c r="EW274" s="15">
        <f t="shared" si="1341"/>
        <v>0</v>
      </c>
      <c r="EZ274" s="15">
        <f t="shared" si="1342"/>
        <v>0</v>
      </c>
      <c r="FC274" s="15">
        <f t="shared" si="1343"/>
        <v>0</v>
      </c>
      <c r="FF274" s="15">
        <f t="shared" si="1344"/>
        <v>0</v>
      </c>
      <c r="FI274" s="15">
        <f t="shared" si="1345"/>
        <v>0</v>
      </c>
      <c r="FL274" s="15">
        <f t="shared" si="1346"/>
        <v>0</v>
      </c>
      <c r="FO274" s="15">
        <f t="shared" si="1347"/>
        <v>0</v>
      </c>
      <c r="FR274" s="15">
        <v>0</v>
      </c>
      <c r="FZ274" s="15">
        <f>FV274+FY274</f>
        <v>0</v>
      </c>
      <c r="GB274" s="15"/>
      <c r="GC274" s="15">
        <f>FZ274+GB274</f>
        <v>0</v>
      </c>
      <c r="GE274" s="15"/>
      <c r="GF274" s="15">
        <f>GC274+GE274</f>
        <v>0</v>
      </c>
      <c r="GH274" s="15"/>
      <c r="GI274" s="15">
        <f>GF274+GH274</f>
        <v>0</v>
      </c>
      <c r="GK274" s="15"/>
      <c r="GL274" s="15">
        <f>GI274+GK274</f>
        <v>0</v>
      </c>
      <c r="GN274" s="15"/>
      <c r="GO274" s="15">
        <f>GL274+GN274</f>
        <v>0</v>
      </c>
      <c r="GQ274" s="15"/>
      <c r="GR274" s="15">
        <f>GO274+GQ274</f>
        <v>0</v>
      </c>
      <c r="GT274" s="15"/>
      <c r="GU274" s="15">
        <f>GR274+GT274</f>
        <v>0</v>
      </c>
      <c r="GW274" s="15"/>
      <c r="GX274" s="15">
        <f>GU274+GW274</f>
        <v>0</v>
      </c>
      <c r="GZ274" s="15"/>
      <c r="HA274" s="189">
        <f>GX274+GZ274</f>
        <v>0</v>
      </c>
    </row>
    <row r="275" spans="1:214" outlineLevel="1">
      <c r="A275" s="13" t="s">
        <v>580</v>
      </c>
      <c r="B275" s="1" t="s">
        <v>206</v>
      </c>
      <c r="C275" s="4" t="s">
        <v>207</v>
      </c>
      <c r="D275" s="36"/>
      <c r="E275" s="51"/>
      <c r="F275" s="36"/>
      <c r="G275" s="51"/>
      <c r="H275" s="36"/>
      <c r="I275" s="36"/>
      <c r="J275" s="14"/>
      <c r="M275" s="17"/>
      <c r="N275" s="17"/>
      <c r="U275" s="16"/>
      <c r="Y275" s="118"/>
      <c r="AB275" s="185"/>
      <c r="AC275" s="187"/>
      <c r="AD275" s="187"/>
      <c r="AF275" s="182"/>
      <c r="AH275" s="15"/>
      <c r="AI275" s="17"/>
      <c r="AX275" s="15"/>
      <c r="BD275" s="15"/>
      <c r="BG275" s="15"/>
      <c r="DC275" s="15">
        <v>1500</v>
      </c>
      <c r="DE275" s="15"/>
      <c r="DF275" s="15">
        <f t="shared" si="1328"/>
        <v>1500</v>
      </c>
      <c r="DH275" s="15"/>
      <c r="DI275" s="15">
        <f t="shared" si="1329"/>
        <v>1500</v>
      </c>
      <c r="DK275" s="15"/>
      <c r="DL275" s="15">
        <f t="shared" si="1330"/>
        <v>1500</v>
      </c>
      <c r="DN275" s="15"/>
      <c r="DO275" s="15">
        <f t="shared" si="1331"/>
        <v>1500</v>
      </c>
      <c r="DQ275" s="227">
        <v>-300</v>
      </c>
      <c r="DR275" s="15">
        <f t="shared" si="1332"/>
        <v>1200</v>
      </c>
      <c r="DT275" s="15"/>
      <c r="DU275" s="15">
        <f t="shared" si="1333"/>
        <v>1200</v>
      </c>
      <c r="DW275" s="15"/>
      <c r="DX275" s="15">
        <f t="shared" si="1334"/>
        <v>1200</v>
      </c>
      <c r="DZ275" s="15"/>
      <c r="EA275" s="15">
        <f t="shared" si="1335"/>
        <v>1200</v>
      </c>
      <c r="EC275" s="15"/>
      <c r="ED275" s="15">
        <f t="shared" si="1336"/>
        <v>1200</v>
      </c>
      <c r="EF275" s="15"/>
      <c r="EG275" s="15">
        <f t="shared" si="1337"/>
        <v>1200</v>
      </c>
      <c r="EI275" s="15">
        <v>1180</v>
      </c>
      <c r="EK275" s="15"/>
      <c r="EM275" s="15"/>
      <c r="EN275" s="15">
        <f t="shared" si="1338"/>
        <v>0</v>
      </c>
      <c r="EP275" s="15"/>
      <c r="EQ275" s="15">
        <f t="shared" si="1339"/>
        <v>0</v>
      </c>
      <c r="ES275" s="15"/>
      <c r="ET275" s="15">
        <f t="shared" si="1340"/>
        <v>0</v>
      </c>
      <c r="EW275" s="15">
        <f t="shared" si="1341"/>
        <v>0</v>
      </c>
      <c r="EZ275" s="15">
        <f t="shared" si="1342"/>
        <v>0</v>
      </c>
      <c r="FC275" s="15">
        <f t="shared" si="1343"/>
        <v>0</v>
      </c>
      <c r="FF275" s="15">
        <f t="shared" si="1344"/>
        <v>0</v>
      </c>
      <c r="FI275" s="15">
        <f t="shared" si="1345"/>
        <v>0</v>
      </c>
      <c r="FL275" s="15">
        <f t="shared" si="1346"/>
        <v>0</v>
      </c>
      <c r="FO275" s="15">
        <f t="shared" si="1347"/>
        <v>0</v>
      </c>
      <c r="FR275" s="15">
        <v>0</v>
      </c>
      <c r="FZ275" s="15">
        <f>FV275+FY275</f>
        <v>0</v>
      </c>
      <c r="GB275" s="15"/>
      <c r="GC275" s="15">
        <f>FZ275+GB275</f>
        <v>0</v>
      </c>
      <c r="GE275" s="15"/>
      <c r="GF275" s="15">
        <f>GC275+GE275</f>
        <v>0</v>
      </c>
      <c r="GH275" s="15"/>
      <c r="GI275" s="15">
        <f>GF275+GH275</f>
        <v>0</v>
      </c>
      <c r="GK275" s="15"/>
      <c r="GL275" s="15">
        <f>GI275+GK275</f>
        <v>0</v>
      </c>
      <c r="GN275" s="15"/>
      <c r="GO275" s="15">
        <f>GL275+GN275</f>
        <v>0</v>
      </c>
      <c r="GQ275" s="15"/>
      <c r="GR275" s="15">
        <f>GO275+GQ275</f>
        <v>0</v>
      </c>
      <c r="GT275" s="15"/>
      <c r="GU275" s="15">
        <f>GR275+GT275</f>
        <v>0</v>
      </c>
      <c r="GW275" s="15"/>
      <c r="GX275" s="15">
        <f>GU275+GW275</f>
        <v>0</v>
      </c>
      <c r="GZ275" s="15"/>
      <c r="HA275" s="189">
        <f>GX275+GZ275</f>
        <v>0</v>
      </c>
    </row>
    <row r="276" spans="1:214" outlineLevel="1">
      <c r="A276" s="13" t="s">
        <v>580</v>
      </c>
      <c r="B276" s="1" t="s">
        <v>148</v>
      </c>
      <c r="C276" s="4" t="s">
        <v>149</v>
      </c>
      <c r="D276" s="36"/>
      <c r="E276" s="51"/>
      <c r="F276" s="36"/>
      <c r="G276" s="51"/>
      <c r="H276" s="36"/>
      <c r="I276" s="36"/>
      <c r="J276" s="14"/>
      <c r="M276" s="17"/>
      <c r="N276" s="17"/>
      <c r="U276" s="16"/>
      <c r="Y276" s="118"/>
      <c r="AB276" s="185"/>
      <c r="AC276" s="187"/>
      <c r="AD276" s="187"/>
      <c r="AF276" s="182"/>
      <c r="AH276" s="15"/>
      <c r="AI276" s="17"/>
      <c r="AX276" s="15"/>
      <c r="BD276" s="15"/>
      <c r="BG276" s="15"/>
      <c r="DC276" s="15">
        <v>2500</v>
      </c>
      <c r="DE276" s="15"/>
      <c r="DF276" s="15">
        <f t="shared" si="1328"/>
        <v>2500</v>
      </c>
      <c r="DH276" s="15"/>
      <c r="DI276" s="15">
        <f t="shared" si="1329"/>
        <v>2500</v>
      </c>
      <c r="DK276" s="15"/>
      <c r="DL276" s="15">
        <f t="shared" si="1330"/>
        <v>2500</v>
      </c>
      <c r="DN276" s="15"/>
      <c r="DO276" s="15">
        <f t="shared" si="1331"/>
        <v>2500</v>
      </c>
      <c r="DQ276" s="227">
        <v>-400</v>
      </c>
      <c r="DR276" s="15">
        <f t="shared" si="1332"/>
        <v>2100</v>
      </c>
      <c r="DT276" s="15"/>
      <c r="DU276" s="15">
        <f t="shared" si="1333"/>
        <v>2100</v>
      </c>
      <c r="DW276" s="15"/>
      <c r="DX276" s="15">
        <f t="shared" si="1334"/>
        <v>2100</v>
      </c>
      <c r="DZ276" s="15"/>
      <c r="EA276" s="15">
        <f t="shared" si="1335"/>
        <v>2100</v>
      </c>
      <c r="EC276" s="15"/>
      <c r="ED276" s="15">
        <f t="shared" si="1336"/>
        <v>2100</v>
      </c>
      <c r="EF276" s="15"/>
      <c r="EG276" s="15">
        <f t="shared" si="1337"/>
        <v>2100</v>
      </c>
      <c r="EI276" s="15">
        <v>2061</v>
      </c>
      <c r="EK276" s="15"/>
      <c r="EM276" s="15"/>
      <c r="EN276" s="15">
        <f t="shared" si="1338"/>
        <v>0</v>
      </c>
      <c r="EP276" s="15"/>
      <c r="EQ276" s="15">
        <f t="shared" si="1339"/>
        <v>0</v>
      </c>
      <c r="ES276" s="15"/>
      <c r="ET276" s="15">
        <f t="shared" si="1340"/>
        <v>0</v>
      </c>
      <c r="EW276" s="15">
        <f t="shared" si="1341"/>
        <v>0</v>
      </c>
      <c r="EZ276" s="15">
        <f t="shared" si="1342"/>
        <v>0</v>
      </c>
      <c r="FC276" s="15">
        <f t="shared" si="1343"/>
        <v>0</v>
      </c>
      <c r="FF276" s="15">
        <f t="shared" si="1344"/>
        <v>0</v>
      </c>
      <c r="FI276" s="15">
        <f t="shared" si="1345"/>
        <v>0</v>
      </c>
      <c r="FL276" s="15">
        <f t="shared" si="1346"/>
        <v>0</v>
      </c>
      <c r="FO276" s="15">
        <f t="shared" si="1347"/>
        <v>0</v>
      </c>
      <c r="FR276" s="15">
        <v>0</v>
      </c>
      <c r="FZ276" s="15">
        <f>FV276+FY276</f>
        <v>0</v>
      </c>
      <c r="GB276" s="15"/>
      <c r="GC276" s="15">
        <f>FZ276+GB276</f>
        <v>0</v>
      </c>
      <c r="GE276" s="15"/>
      <c r="GF276" s="15">
        <f>GC276+GE276</f>
        <v>0</v>
      </c>
      <c r="GH276" s="15"/>
      <c r="GI276" s="15">
        <f>GF276+GH276</f>
        <v>0</v>
      </c>
      <c r="GK276" s="15"/>
      <c r="GL276" s="15">
        <f>GI276+GK276</f>
        <v>0</v>
      </c>
      <c r="GN276" s="15"/>
      <c r="GO276" s="15">
        <f>GL276+GN276</f>
        <v>0</v>
      </c>
      <c r="GQ276" s="15"/>
      <c r="GR276" s="15">
        <f>GO276+GQ276</f>
        <v>0</v>
      </c>
      <c r="GT276" s="15"/>
      <c r="GU276" s="15">
        <f>GR276+GT276</f>
        <v>0</v>
      </c>
      <c r="GW276" s="15"/>
      <c r="GX276" s="15">
        <f>GU276+GW276</f>
        <v>0</v>
      </c>
      <c r="GZ276" s="15"/>
      <c r="HA276" s="189">
        <f>GX276+GZ276</f>
        <v>0</v>
      </c>
    </row>
    <row r="277" spans="1:214" outlineLevel="1">
      <c r="A277" s="13" t="s">
        <v>580</v>
      </c>
      <c r="B277" s="13" t="s">
        <v>46</v>
      </c>
      <c r="C277" s="4" t="s">
        <v>650</v>
      </c>
      <c r="D277" s="36"/>
      <c r="E277" s="51"/>
      <c r="F277" s="36"/>
      <c r="G277" s="51"/>
      <c r="H277" s="36"/>
      <c r="I277" s="36"/>
      <c r="J277" s="14"/>
      <c r="M277" s="17"/>
      <c r="N277" s="17"/>
      <c r="U277" s="16"/>
      <c r="Y277" s="118"/>
      <c r="AB277" s="185"/>
      <c r="AC277" s="187"/>
      <c r="AD277" s="187"/>
      <c r="AF277" s="182"/>
      <c r="AH277" s="15"/>
      <c r="AI277" s="17"/>
      <c r="AX277" s="15"/>
      <c r="BD277" s="15"/>
      <c r="BG277" s="15"/>
      <c r="DE277" s="15"/>
      <c r="DF277" s="15"/>
      <c r="DH277" s="15"/>
      <c r="DI277" s="15"/>
      <c r="DK277" s="15"/>
      <c r="DL277" s="15"/>
      <c r="DN277" s="15"/>
      <c r="DO277" s="15"/>
      <c r="DQ277" s="227"/>
      <c r="DR277" s="15"/>
      <c r="DT277" s="15"/>
      <c r="DU277" s="15"/>
      <c r="DW277" s="15"/>
      <c r="DX277" s="15"/>
      <c r="DZ277" s="15"/>
      <c r="EA277" s="15"/>
      <c r="EC277" s="15"/>
      <c r="ED277" s="15"/>
      <c r="EF277" s="15"/>
      <c r="EG277" s="15"/>
      <c r="EK277" s="15"/>
      <c r="EM277" s="15"/>
      <c r="EN277" s="15"/>
      <c r="EP277" s="15"/>
      <c r="EQ277" s="15"/>
      <c r="ES277" s="15"/>
      <c r="ET277" s="15"/>
      <c r="EW277" s="15"/>
      <c r="EZ277" s="15"/>
      <c r="FC277" s="15"/>
      <c r="FF277" s="15"/>
      <c r="FI277" s="15"/>
      <c r="FL277" s="15"/>
      <c r="FO277" s="15"/>
      <c r="FR277" s="15"/>
      <c r="FZ277" s="15"/>
      <c r="GB277" s="15"/>
      <c r="GC277" s="15"/>
      <c r="GE277" s="15"/>
      <c r="GF277" s="15"/>
      <c r="GH277" s="15"/>
      <c r="GI277" s="15"/>
      <c r="GK277" s="15"/>
      <c r="GL277" s="15"/>
      <c r="GN277" s="15"/>
      <c r="GO277" s="15"/>
      <c r="GQ277" s="15"/>
      <c r="GR277" s="15"/>
      <c r="GT277" s="15"/>
      <c r="GU277" s="15"/>
      <c r="GW277" s="15"/>
      <c r="GX277" s="15"/>
      <c r="GZ277" s="15"/>
    </row>
    <row r="278" spans="1:214" ht="15.75" customHeight="1" thickBot="1">
      <c r="A278" s="54" t="s">
        <v>579</v>
      </c>
      <c r="B278" s="55" t="s">
        <v>316</v>
      </c>
      <c r="C278" s="56" t="s">
        <v>649</v>
      </c>
      <c r="D278" s="57" t="e">
        <f>#REF!</f>
        <v>#REF!</v>
      </c>
      <c r="E278" s="58"/>
      <c r="F278" s="57" t="e">
        <f>#REF!</f>
        <v>#REF!</v>
      </c>
      <c r="G278" s="58"/>
      <c r="H278" s="57"/>
      <c r="I278" s="57" t="e">
        <f>#REF!</f>
        <v>#REF!</v>
      </c>
      <c r="J278" s="59"/>
      <c r="K278" s="60"/>
      <c r="L278" s="122">
        <f>SUM(L258:L264)</f>
        <v>19100</v>
      </c>
      <c r="M278" s="61" t="e">
        <f t="shared" si="1284"/>
        <v>#REF!</v>
      </c>
      <c r="N278" s="61" t="e">
        <f t="shared" ref="N278:N309" si="1348">L278/I278-1</f>
        <v>#REF!</v>
      </c>
      <c r="Q278" s="122">
        <f>SUM(Q258:Q264)</f>
        <v>19100</v>
      </c>
      <c r="R278" s="122">
        <f>SUM(R258:R264)</f>
        <v>0</v>
      </c>
      <c r="S278" s="122">
        <f>SUM(S258:S264)</f>
        <v>19100</v>
      </c>
      <c r="T278" s="122">
        <f>SUM(T258:T264)</f>
        <v>0</v>
      </c>
      <c r="U278" s="155">
        <f t="shared" si="1286"/>
        <v>0</v>
      </c>
      <c r="Y278" s="122">
        <f>SUM(Y258:Y264)</f>
        <v>24200</v>
      </c>
      <c r="AA278" s="122">
        <f>SUM(AA258:AA264)</f>
        <v>21600</v>
      </c>
      <c r="AB278" s="122">
        <f>SUM(AB258:AB264)</f>
        <v>-2600</v>
      </c>
      <c r="AE278" s="122">
        <f>SUM(AE258:AE264)</f>
        <v>21600</v>
      </c>
      <c r="AF278" s="182"/>
      <c r="AH278" s="122">
        <f>SUM(AH258:AH264)</f>
        <v>20466</v>
      </c>
      <c r="AI278" s="17">
        <f t="shared" si="1289"/>
        <v>0.94750000000000001</v>
      </c>
      <c r="AK278" s="122">
        <f>SUM(AK248:AK255)</f>
        <v>26400</v>
      </c>
      <c r="AL278" s="193">
        <f>AK278/L278</f>
        <v>1.3821989528795811</v>
      </c>
      <c r="AM278" s="17">
        <f>AK278/AE278</f>
        <v>1.2222222222222223</v>
      </c>
      <c r="AN278" s="17">
        <f>AK278/AH278</f>
        <v>1.2899442978598652</v>
      </c>
      <c r="AS278" s="122">
        <f>SUM(AS248:AS255)</f>
        <v>26400</v>
      </c>
      <c r="AU278" s="122">
        <f>SUM(AU248:AU255)</f>
        <v>0</v>
      </c>
      <c r="AV278" s="122">
        <f>SUM(AV248:AV255)</f>
        <v>26400</v>
      </c>
      <c r="AX278" s="122">
        <f>SUM(AX248:AX255)</f>
        <v>0</v>
      </c>
      <c r="AY278" s="122">
        <f>SUM(AY248:AY255)</f>
        <v>26400</v>
      </c>
      <c r="BA278" s="122">
        <f>SUM(BA248:BA255)</f>
        <v>0</v>
      </c>
      <c r="BB278" s="122">
        <f>SUM(BB248:BB255)</f>
        <v>26400</v>
      </c>
      <c r="BD278" s="122">
        <f>SUM(BD248:BD255)</f>
        <v>4600</v>
      </c>
      <c r="BE278" s="122">
        <f>SUM(BE248:BE255)</f>
        <v>31000</v>
      </c>
      <c r="BG278" s="122">
        <f>SUM(BG248:BG255)</f>
        <v>0</v>
      </c>
      <c r="BH278" s="122">
        <f>SUM(BH248:BH255)</f>
        <v>31000</v>
      </c>
      <c r="BJ278" s="122">
        <f>SUM(BJ248:BJ255)</f>
        <v>16778</v>
      </c>
      <c r="BK278" s="236">
        <f t="shared" ref="BK278" si="1349">BJ278/BH278</f>
        <v>0.54122580645161289</v>
      </c>
      <c r="BM278" s="122">
        <f>SUM(BM258:BM264)</f>
        <v>25800</v>
      </c>
      <c r="BN278" s="236">
        <f>BM278/BJ278</f>
        <v>1.537727977112886</v>
      </c>
      <c r="BO278" s="236">
        <f>BM278/BH278</f>
        <v>0.83225806451612905</v>
      </c>
      <c r="BQ278" s="122">
        <f>SUM(BQ258:BQ264)</f>
        <v>0</v>
      </c>
      <c r="BR278" s="122">
        <f>SUM(BR258:BR264)</f>
        <v>25800</v>
      </c>
      <c r="BT278" s="122">
        <f>SUM(BT258:BT264)</f>
        <v>0</v>
      </c>
      <c r="BU278" s="122">
        <f>SUM(BU258:BU264)</f>
        <v>25800</v>
      </c>
      <c r="BW278" s="122">
        <f>SUM(BW258:BW264)</f>
        <v>0</v>
      </c>
      <c r="BX278" s="122">
        <f>SUM(BX258:BX264)</f>
        <v>25800</v>
      </c>
      <c r="BZ278" s="122">
        <f>SUM(BZ258:BZ264)</f>
        <v>0</v>
      </c>
      <c r="CA278" s="122">
        <f>SUM(CA258:CA264)</f>
        <v>25800</v>
      </c>
      <c r="CC278" s="122">
        <f>SUM(CC258:CC264)</f>
        <v>0</v>
      </c>
      <c r="CD278" s="122">
        <f>SUM(CD258:CD264)</f>
        <v>25800</v>
      </c>
      <c r="CF278" s="122">
        <f>SUM(CF258:CF264)</f>
        <v>0</v>
      </c>
      <c r="CG278" s="122">
        <f>SUM(CG258:CG264)</f>
        <v>25800</v>
      </c>
      <c r="CI278" s="122">
        <f>SUM(CI258:CI264)</f>
        <v>0</v>
      </c>
      <c r="CJ278" s="122">
        <f>SUM(CJ258:CJ264)</f>
        <v>25800</v>
      </c>
      <c r="CL278" s="319">
        <f>SUM(CL258:CL264)</f>
        <v>-18000</v>
      </c>
      <c r="CM278" s="122">
        <f>SUM(CM258:CM264)</f>
        <v>7800</v>
      </c>
      <c r="CO278" s="122">
        <f>SUM(CO257:CO264)</f>
        <v>7800</v>
      </c>
      <c r="CP278" s="122">
        <f>SUM(CP257:CP264)</f>
        <v>15600</v>
      </c>
      <c r="CR278" s="122">
        <f>SUM(CR257:CR264)</f>
        <v>0</v>
      </c>
      <c r="CS278" s="122">
        <f>SUM(CS257:CS264)</f>
        <v>15600</v>
      </c>
      <c r="CU278" s="122">
        <f>SUM(CU257:CU264)</f>
        <v>0</v>
      </c>
      <c r="CV278" s="122">
        <f>SUM(CV257:CV264)</f>
        <v>15600</v>
      </c>
      <c r="CX278" s="122">
        <f>SUM(CX257:CX264)</f>
        <v>0</v>
      </c>
      <c r="CY278" s="122">
        <f>SUM(CY257:CY264)</f>
        <v>15600</v>
      </c>
      <c r="DA278" s="122">
        <f>SUM(DA257:DA264)</f>
        <v>11262</v>
      </c>
      <c r="DC278" s="122">
        <f>SUM(DC257:DC276)</f>
        <v>16500</v>
      </c>
      <c r="DE278" s="122">
        <f>SUM(DE257:DE276)</f>
        <v>0</v>
      </c>
      <c r="DF278" s="122">
        <f>SUM(DF257:DF276)</f>
        <v>16500</v>
      </c>
      <c r="DH278" s="122">
        <f>SUM(DH257:DH276)</f>
        <v>3725</v>
      </c>
      <c r="DI278" s="122">
        <f>SUM(DI257:DI276)</f>
        <v>20225</v>
      </c>
      <c r="DK278" s="122">
        <f>SUM(DK257:DK276)</f>
        <v>0</v>
      </c>
      <c r="DL278" s="122">
        <f>SUM(DL257:DL276)</f>
        <v>20225</v>
      </c>
      <c r="DN278" s="122">
        <f>SUM(DN257:DN276)</f>
        <v>0</v>
      </c>
      <c r="DO278" s="122">
        <f>SUM(DO257:DO276)</f>
        <v>20225</v>
      </c>
      <c r="DQ278" s="122">
        <f>SUM(DQ257:DQ276)</f>
        <v>-2800</v>
      </c>
      <c r="DR278" s="122">
        <f>SUM(DR257:DR276)</f>
        <v>17425</v>
      </c>
      <c r="DT278" s="122">
        <f>SUM(DT257:DT276)</f>
        <v>0</v>
      </c>
      <c r="DU278" s="122">
        <f>SUM(DU257:DU276)</f>
        <v>17425</v>
      </c>
      <c r="DW278" s="122">
        <f>SUM(DW257:DW276)</f>
        <v>0</v>
      </c>
      <c r="DX278" s="122">
        <f>SUM(DX257:DX276)</f>
        <v>17425</v>
      </c>
      <c r="DZ278" s="122">
        <f>SUM(DZ257:DZ276)</f>
        <v>0</v>
      </c>
      <c r="EA278" s="122">
        <f>SUM(EA257:EA276)</f>
        <v>17425</v>
      </c>
      <c r="EC278" s="122">
        <f>SUM(EC257:EC276)</f>
        <v>0</v>
      </c>
      <c r="ED278" s="122">
        <f>SUM(ED257:ED276)</f>
        <v>17425</v>
      </c>
      <c r="EF278" s="122">
        <f>SUM(EF257:EF276)</f>
        <v>0</v>
      </c>
      <c r="EG278" s="122">
        <f>SUM(EG257:EG276)</f>
        <v>17425</v>
      </c>
      <c r="EI278" s="122">
        <f>SUM(EI257:EI276)</f>
        <v>17358</v>
      </c>
      <c r="EK278" s="122">
        <f>SUM(EK248:EK276)</f>
        <v>70500</v>
      </c>
      <c r="EM278" s="122">
        <f>SUM(EM257:EM276)</f>
        <v>0</v>
      </c>
      <c r="EN278" s="122">
        <f>SUM(EN248:EN276)</f>
        <v>70500</v>
      </c>
      <c r="EP278" s="122">
        <f>SUM(EP257:EP276)</f>
        <v>0</v>
      </c>
      <c r="EQ278" s="122">
        <f>SUM(EQ248:EQ276)</f>
        <v>70500</v>
      </c>
      <c r="ES278" s="122">
        <f>SUM(ES257:ES276)</f>
        <v>0</v>
      </c>
      <c r="ET278" s="122">
        <f>SUM(ET248:ET276)</f>
        <v>70500</v>
      </c>
      <c r="EV278" s="122">
        <f>SUM(EV257:EV276)</f>
        <v>-11384</v>
      </c>
      <c r="EW278" s="122">
        <f>SUM(EW248:EW276)</f>
        <v>59116</v>
      </c>
      <c r="EY278" s="122">
        <f>SUM(EY257:EY276)</f>
        <v>0</v>
      </c>
      <c r="EZ278" s="122">
        <f>SUM(EZ248:EZ276)</f>
        <v>59116</v>
      </c>
      <c r="FB278" s="122">
        <f>SUM(FB248:FB276)</f>
        <v>0</v>
      </c>
      <c r="FC278" s="122">
        <f>SUM(FC248:FC276)</f>
        <v>59116</v>
      </c>
      <c r="FE278" s="122">
        <f>SUM(FE257:FE276)</f>
        <v>0</v>
      </c>
      <c r="FF278" s="122">
        <f>SUM(FF258:FF276)</f>
        <v>35616</v>
      </c>
      <c r="FH278" s="122">
        <f>SUM(FH257:FH276)</f>
        <v>0</v>
      </c>
      <c r="FI278" s="122">
        <f>SUM(FI248:FI276)</f>
        <v>59116</v>
      </c>
      <c r="FK278" s="122">
        <f>SUM(FK248:FK276)</f>
        <v>-29750</v>
      </c>
      <c r="FL278" s="122">
        <f>SUM(FL248:FL276)</f>
        <v>29366</v>
      </c>
      <c r="FN278" s="122">
        <f>SUM(FN248:FN276)</f>
        <v>0</v>
      </c>
      <c r="FO278" s="122">
        <f>SUM(FO248:FO276)</f>
        <v>29366</v>
      </c>
      <c r="FQ278" s="122">
        <v>0</v>
      </c>
      <c r="FR278" s="122">
        <v>29366</v>
      </c>
      <c r="FT278" s="122">
        <f>SUM(FT248:FT276)</f>
        <v>31465.4</v>
      </c>
      <c r="FV278" s="122">
        <f>SUM(FV248:FV276)</f>
        <v>25000</v>
      </c>
      <c r="FW278" s="235">
        <f t="shared" ref="FW278:FW309" si="1350">FV278/FT278</f>
        <v>0.79452350836156538</v>
      </c>
      <c r="FY278" s="122">
        <f>SUM(FY248:FY276)</f>
        <v>0</v>
      </c>
      <c r="FZ278" s="122">
        <f>SUM(FZ248:FZ276)</f>
        <v>25000</v>
      </c>
      <c r="GB278" s="122">
        <f>SUM(GB248:GB276)</f>
        <v>0</v>
      </c>
      <c r="GC278" s="122">
        <f>SUM(GC248:GC276)</f>
        <v>25000</v>
      </c>
      <c r="GE278" s="122">
        <f>SUM(GE248:GE276)</f>
        <v>0</v>
      </c>
      <c r="GF278" s="122">
        <f>SUM(GF248:GF276)</f>
        <v>25000</v>
      </c>
      <c r="GH278" s="122">
        <f>SUM(GH248:GH276)</f>
        <v>0</v>
      </c>
      <c r="GI278" s="122">
        <f>SUM(GI248:GI276)</f>
        <v>25000</v>
      </c>
      <c r="GK278" s="122">
        <f>SUM(GK248:GK276)</f>
        <v>0</v>
      </c>
      <c r="GL278" s="122">
        <f>SUM(GL248:GL276)</f>
        <v>25000</v>
      </c>
      <c r="GN278" s="122">
        <f>SUM(GN248:GN276)</f>
        <v>0</v>
      </c>
      <c r="GO278" s="122">
        <f>SUM(GO248:GO276)</f>
        <v>25000</v>
      </c>
      <c r="GQ278" s="122">
        <f>SUM(GQ248:GQ276)</f>
        <v>2150</v>
      </c>
      <c r="GR278" s="122">
        <f>SUM(GR248:GR276)</f>
        <v>27150</v>
      </c>
      <c r="GT278" s="122">
        <f>SUM(GT248:GT276)</f>
        <v>200</v>
      </c>
      <c r="GU278" s="122">
        <f>SUM(GU248:GU276)</f>
        <v>27350</v>
      </c>
      <c r="GW278" s="122">
        <f>SUM(GW248:GW276)</f>
        <v>-11986.2</v>
      </c>
      <c r="GX278" s="122">
        <f>SUM(GX248:GX276)</f>
        <v>15363.8</v>
      </c>
      <c r="GZ278" s="122">
        <f>SUM(GZ248:GZ276)</f>
        <v>0</v>
      </c>
      <c r="HA278" s="430">
        <f>SUM(HA248:HA276)</f>
        <v>15363.8</v>
      </c>
      <c r="HC278" s="122">
        <f>SUM(HC248:HC276)</f>
        <v>15363.8</v>
      </c>
      <c r="HE278" s="122">
        <f>SUM(HE248:HE276)</f>
        <v>17500</v>
      </c>
      <c r="HF278" s="235">
        <f t="shared" ref="HF278:HF309" si="1351">HE278/HC278</f>
        <v>1.1390411226389305</v>
      </c>
    </row>
    <row r="279" spans="1:214" ht="15.75" outlineLevel="1" thickTop="1">
      <c r="A279" s="1" t="s">
        <v>76</v>
      </c>
      <c r="B279" s="1" t="s">
        <v>183</v>
      </c>
      <c r="C279" s="4" t="s">
        <v>184</v>
      </c>
      <c r="D279" s="43">
        <v>310000</v>
      </c>
      <c r="E279" s="34">
        <v>70.63</v>
      </c>
      <c r="F279" s="43">
        <v>310000</v>
      </c>
      <c r="G279" s="34">
        <v>70.63</v>
      </c>
      <c r="H279" s="46">
        <v>218968</v>
      </c>
      <c r="I279" s="36">
        <v>275000</v>
      </c>
      <c r="J279" s="14"/>
      <c r="K279" t="s">
        <v>332</v>
      </c>
      <c r="L279" s="118">
        <v>300000</v>
      </c>
      <c r="M279" s="17">
        <f t="shared" ref="M279:M309" si="1352">L279/F279-1</f>
        <v>-3.2258064516129004E-2</v>
      </c>
      <c r="N279" s="17">
        <f t="shared" si="1348"/>
        <v>9.0909090909090828E-2</v>
      </c>
      <c r="Q279" s="118">
        <v>300000</v>
      </c>
      <c r="R279" s="15">
        <v>111504</v>
      </c>
      <c r="S279" s="118">
        <v>260000</v>
      </c>
      <c r="T279" s="15">
        <f t="shared" ref="T279:T286" si="1353">S279-Q279</f>
        <v>-40000</v>
      </c>
      <c r="U279" s="16">
        <f t="shared" ref="U279:U286" si="1354">S279/Q279-1</f>
        <v>-0.1333333333333333</v>
      </c>
      <c r="Y279" s="118">
        <v>260000</v>
      </c>
      <c r="AA279" s="118">
        <v>260000</v>
      </c>
      <c r="AB279" s="185">
        <f t="shared" ref="AB279:AB310" si="1355">AA279-Y279</f>
        <v>0</v>
      </c>
      <c r="AC279" s="187">
        <f t="shared" ref="AC279:AC310" si="1356">AA279-Y279</f>
        <v>0</v>
      </c>
      <c r="AD279" s="187"/>
      <c r="AE279" s="118">
        <v>260000</v>
      </c>
      <c r="AF279" s="182"/>
      <c r="AH279" s="15">
        <v>242455</v>
      </c>
      <c r="AI279" s="17">
        <f t="shared" si="1289"/>
        <v>0.93251923076923082</v>
      </c>
      <c r="AK279" s="118">
        <v>260000</v>
      </c>
      <c r="AR279" s="15"/>
      <c r="AS279" s="15">
        <f t="shared" ref="AS279:AS309" si="1357">AR279+AK279</f>
        <v>260000</v>
      </c>
      <c r="AV279" s="15">
        <f t="shared" ref="AV279:AV309" si="1358">AS279+AU279</f>
        <v>260000</v>
      </c>
      <c r="AX279" s="15"/>
      <c r="AY279" s="15">
        <f t="shared" ref="AY279:AY309" si="1359">AV279+AX279</f>
        <v>260000</v>
      </c>
      <c r="BB279" s="15">
        <f t="shared" ref="BB279:BB309" si="1360">AY279+BA279</f>
        <v>260000</v>
      </c>
      <c r="BD279" s="15">
        <v>15000</v>
      </c>
      <c r="BE279" s="15">
        <f t="shared" ref="BE279:BE309" si="1361">BB279+BD279</f>
        <v>275000</v>
      </c>
      <c r="BG279" s="15"/>
      <c r="BH279" s="15">
        <f t="shared" ref="BH279:BH309" si="1362">BE279+BG279</f>
        <v>275000</v>
      </c>
      <c r="BJ279" s="15">
        <v>271252</v>
      </c>
      <c r="BK279" s="235">
        <f t="shared" ref="BK279" si="1363">BJ279/BH279</f>
        <v>0.98637090909090908</v>
      </c>
      <c r="BM279" s="15">
        <f>(12*20000+10000)</f>
        <v>250000</v>
      </c>
      <c r="BN279" s="235">
        <f t="shared" ref="BN279" si="1364">BM279/BJ279</f>
        <v>0.92165219058292658</v>
      </c>
      <c r="BO279" s="235">
        <f t="shared" ref="BO279" si="1365">BM279/BH279</f>
        <v>0.90909090909090906</v>
      </c>
      <c r="BQ279" s="15"/>
      <c r="BR279" s="15">
        <f t="shared" ref="BR279:BR285" si="1366">BM279+BQ279</f>
        <v>250000</v>
      </c>
      <c r="BT279" s="15"/>
      <c r="BU279" s="15">
        <f t="shared" ref="BU279:BU306" si="1367">BR279+BT279</f>
        <v>250000</v>
      </c>
      <c r="BW279" s="15"/>
      <c r="BX279" s="15">
        <f t="shared" ref="BX279:BX306" si="1368">BU279+BW279</f>
        <v>250000</v>
      </c>
      <c r="BZ279" s="15"/>
      <c r="CA279" s="15">
        <f t="shared" ref="CA279:CA306" si="1369">BX279+BZ279</f>
        <v>250000</v>
      </c>
      <c r="CC279" s="15"/>
      <c r="CD279" s="15">
        <f t="shared" ref="CD279:CD306" si="1370">CA279+CC279</f>
        <v>250000</v>
      </c>
      <c r="CF279" s="15"/>
      <c r="CG279" s="15">
        <f t="shared" ref="CG279:CG306" si="1371">CD279+CF279</f>
        <v>250000</v>
      </c>
      <c r="CI279" s="15"/>
      <c r="CJ279" s="15">
        <f t="shared" ref="CJ279:CJ306" si="1372">CG279+CI279</f>
        <v>250000</v>
      </c>
      <c r="CL279" s="15">
        <v>-50000</v>
      </c>
      <c r="CM279" s="15">
        <f t="shared" ref="CM279:CM306" si="1373">CJ279+CL279</f>
        <v>200000</v>
      </c>
      <c r="CO279" s="15">
        <v>50000</v>
      </c>
      <c r="CP279" s="15">
        <f t="shared" ref="CP279:CP306" si="1374">CM279+CO279</f>
        <v>250000</v>
      </c>
      <c r="CS279" s="15">
        <f t="shared" ref="CS279:CS306" si="1375">CP279+CR279</f>
        <v>250000</v>
      </c>
      <c r="CV279" s="15">
        <f t="shared" ref="CV279:CV306" si="1376">CS279+CU279</f>
        <v>250000</v>
      </c>
      <c r="CY279" s="15">
        <f t="shared" ref="CY279:CY306" si="1377">CV279+CX279</f>
        <v>250000</v>
      </c>
      <c r="DA279" s="15">
        <v>246882</v>
      </c>
      <c r="DC279" s="15">
        <v>380000</v>
      </c>
      <c r="DE279" s="15"/>
      <c r="DF279" s="15">
        <f t="shared" ref="DF279:DF309" si="1378">DC279+DE279</f>
        <v>380000</v>
      </c>
      <c r="DH279" s="15"/>
      <c r="DI279" s="15">
        <f t="shared" ref="DI279:DI309" si="1379">DF279+DH279</f>
        <v>380000</v>
      </c>
      <c r="DK279" s="15"/>
      <c r="DL279" s="15">
        <f t="shared" ref="DL279:DL309" si="1380">DI279+DK279</f>
        <v>380000</v>
      </c>
      <c r="DN279" s="15"/>
      <c r="DO279" s="15">
        <f t="shared" ref="DO279:DO309" si="1381">DL279+DN279</f>
        <v>380000</v>
      </c>
      <c r="DQ279" s="15"/>
      <c r="DR279" s="15">
        <f t="shared" ref="DR279:DR309" si="1382">DO279+DQ279</f>
        <v>380000</v>
      </c>
      <c r="DT279" s="15"/>
      <c r="DU279" s="15">
        <f t="shared" ref="DU279:DU309" si="1383">DR279+DT279</f>
        <v>380000</v>
      </c>
      <c r="DW279" s="15"/>
      <c r="DX279" s="15">
        <f t="shared" ref="DX279:DX309" si="1384">DU279+DW279</f>
        <v>380000</v>
      </c>
      <c r="DZ279" s="227">
        <v>-19980</v>
      </c>
      <c r="EA279" s="15">
        <f t="shared" ref="EA279:EA309" si="1385">DX279+DZ279</f>
        <v>360020</v>
      </c>
      <c r="EC279" s="227">
        <v>6980</v>
      </c>
      <c r="ED279" s="15">
        <f t="shared" ref="ED279:ED309" si="1386">EA279+EC279</f>
        <v>367000</v>
      </c>
      <c r="EF279" s="227">
        <v>7000</v>
      </c>
      <c r="EG279" s="15">
        <f t="shared" ref="EG279:EG283" si="1387">ED279+EF279</f>
        <v>374000</v>
      </c>
      <c r="EI279" s="15">
        <v>373774</v>
      </c>
      <c r="EK279" s="15">
        <v>440000</v>
      </c>
      <c r="EM279" s="227">
        <v>5000</v>
      </c>
      <c r="EN279" s="15">
        <f t="shared" ref="EN279:EN289" si="1388">EK279+EM279</f>
        <v>445000</v>
      </c>
      <c r="EP279" s="15"/>
      <c r="EQ279" s="15">
        <f t="shared" ref="EQ279:EQ289" si="1389">EN279+EP279</f>
        <v>445000</v>
      </c>
      <c r="ES279" s="15"/>
      <c r="ET279" s="15">
        <f t="shared" ref="ET279:ET289" si="1390">EQ279+ES279</f>
        <v>445000</v>
      </c>
      <c r="EV279" s="227">
        <v>-7000</v>
      </c>
      <c r="EW279" s="15">
        <f t="shared" ref="EW279:EW289" si="1391">ET279+EV279</f>
        <v>438000</v>
      </c>
      <c r="EZ279" s="15">
        <f t="shared" ref="EZ279:EZ289" si="1392">EW279+EY279</f>
        <v>438000</v>
      </c>
      <c r="FC279" s="15">
        <f t="shared" ref="FC279:FC289" si="1393">EZ279+FB279</f>
        <v>438000</v>
      </c>
      <c r="FF279" s="15">
        <f t="shared" ref="FF279:FF289" si="1394">FC279+FE279</f>
        <v>438000</v>
      </c>
      <c r="FI279" s="15">
        <f t="shared" ref="FI279:FI289" si="1395">FF279+FH279</f>
        <v>438000</v>
      </c>
      <c r="FK279" s="227">
        <v>25000</v>
      </c>
      <c r="FL279" s="15">
        <f t="shared" ref="FL279:FL289" si="1396">FI279+FK279</f>
        <v>463000</v>
      </c>
      <c r="FO279" s="15">
        <f t="shared" ref="FO279:FO289" si="1397">FL279+FN279</f>
        <v>463000</v>
      </c>
      <c r="FR279" s="15">
        <v>463000</v>
      </c>
      <c r="FT279" s="15">
        <v>460438</v>
      </c>
      <c r="FV279" s="15">
        <v>515000</v>
      </c>
      <c r="FW279" s="235">
        <f t="shared" si="1350"/>
        <v>1.1185002106689717</v>
      </c>
      <c r="FZ279" s="15">
        <f t="shared" ref="FZ279:FZ289" si="1398">FV279+FY279</f>
        <v>515000</v>
      </c>
      <c r="GB279" s="15"/>
      <c r="GC279" s="15">
        <f t="shared" ref="GC279:GC289" si="1399">FZ279+GB279</f>
        <v>515000</v>
      </c>
      <c r="GE279" s="227">
        <v>60000</v>
      </c>
      <c r="GF279" s="15">
        <f t="shared" ref="GF279:GF289" si="1400">GC279+GE279</f>
        <v>575000</v>
      </c>
      <c r="GH279" s="15"/>
      <c r="GI279" s="15">
        <f t="shared" ref="GI279:GI289" si="1401">GF279+GH279</f>
        <v>575000</v>
      </c>
      <c r="GK279" s="15"/>
      <c r="GL279" s="15">
        <f t="shared" ref="GL279:GL289" si="1402">GI279+GK279</f>
        <v>575000</v>
      </c>
      <c r="GN279" s="15"/>
      <c r="GO279" s="15">
        <f t="shared" ref="GO279:GO289" si="1403">GL279+GN279</f>
        <v>575000</v>
      </c>
      <c r="GQ279" s="15"/>
      <c r="GR279" s="15">
        <f t="shared" ref="GR279:GR289" si="1404">GO279+GQ279</f>
        <v>575000</v>
      </c>
      <c r="GT279" s="15"/>
      <c r="GU279" s="15">
        <f t="shared" ref="GU279:GU289" si="1405">GR279+GT279</f>
        <v>575000</v>
      </c>
      <c r="GW279" s="15"/>
      <c r="GX279" s="15">
        <f t="shared" ref="GX279:GX289" si="1406">GU279+GW279</f>
        <v>575000</v>
      </c>
      <c r="GZ279" s="15"/>
      <c r="HA279" s="189">
        <f t="shared" ref="HA279:HA289" si="1407">GX279+GZ279</f>
        <v>575000</v>
      </c>
      <c r="HC279" s="189">
        <v>523538</v>
      </c>
      <c r="HE279" s="15">
        <v>481000</v>
      </c>
      <c r="HF279" s="235">
        <f t="shared" si="1351"/>
        <v>0.91874897333144867</v>
      </c>
    </row>
    <row r="280" spans="1:214" outlineLevel="1">
      <c r="A280" s="1" t="s">
        <v>76</v>
      </c>
      <c r="B280" s="1" t="s">
        <v>142</v>
      </c>
      <c r="C280" s="4" t="s">
        <v>143</v>
      </c>
      <c r="D280" s="43">
        <v>35000</v>
      </c>
      <c r="E280" s="34">
        <v>5.71</v>
      </c>
      <c r="F280" s="43">
        <v>35000</v>
      </c>
      <c r="G280" s="34">
        <v>5.71</v>
      </c>
      <c r="H280" s="46">
        <v>2000</v>
      </c>
      <c r="I280" s="36">
        <v>2000</v>
      </c>
      <c r="J280" s="14"/>
      <c r="L280" s="118">
        <v>5000</v>
      </c>
      <c r="M280" s="17">
        <f t="shared" si="1352"/>
        <v>-0.85714285714285721</v>
      </c>
      <c r="N280" s="17">
        <f t="shared" si="1348"/>
        <v>1.5</v>
      </c>
      <c r="Q280" s="118">
        <v>5000</v>
      </c>
      <c r="R280" s="15">
        <v>0</v>
      </c>
      <c r="S280" s="118">
        <v>0</v>
      </c>
      <c r="T280" s="15">
        <f t="shared" si="1353"/>
        <v>-5000</v>
      </c>
      <c r="U280" s="16">
        <f t="shared" si="1354"/>
        <v>-1</v>
      </c>
      <c r="Y280" s="118">
        <v>0</v>
      </c>
      <c r="AA280" s="118">
        <v>0</v>
      </c>
      <c r="AB280" s="185">
        <f t="shared" si="1355"/>
        <v>0</v>
      </c>
      <c r="AC280" s="187">
        <f t="shared" si="1356"/>
        <v>0</v>
      </c>
      <c r="AD280" s="187"/>
      <c r="AE280" s="118">
        <v>0</v>
      </c>
      <c r="AF280" s="182"/>
      <c r="AH280" s="15">
        <v>0</v>
      </c>
      <c r="AK280" s="118">
        <v>0</v>
      </c>
      <c r="AR280" s="15"/>
      <c r="AS280" s="15">
        <f t="shared" si="1357"/>
        <v>0</v>
      </c>
      <c r="AV280" s="15">
        <f t="shared" si="1358"/>
        <v>0</v>
      </c>
      <c r="AX280" s="15"/>
      <c r="AY280" s="15">
        <f t="shared" si="1359"/>
        <v>0</v>
      </c>
      <c r="BB280" s="15">
        <f t="shared" si="1360"/>
        <v>0</v>
      </c>
      <c r="BD280" s="15"/>
      <c r="BE280" s="15">
        <f t="shared" si="1361"/>
        <v>0</v>
      </c>
      <c r="BG280" s="15"/>
      <c r="BH280" s="15">
        <f t="shared" si="1362"/>
        <v>0</v>
      </c>
      <c r="BM280" s="15">
        <f>+(12*2000)</f>
        <v>24000</v>
      </c>
      <c r="BN280" s="235" t="e">
        <f t="shared" ref="BN280" si="1408">BM280/BJ280</f>
        <v>#DIV/0!</v>
      </c>
      <c r="BO280" s="235" t="e">
        <f t="shared" ref="BO280" si="1409">BM280/BH280</f>
        <v>#DIV/0!</v>
      </c>
      <c r="BQ280" s="15"/>
      <c r="BR280" s="15">
        <f t="shared" si="1366"/>
        <v>24000</v>
      </c>
      <c r="BT280" s="15"/>
      <c r="BU280" s="15">
        <f t="shared" si="1367"/>
        <v>24000</v>
      </c>
      <c r="BW280" s="15">
        <v>40000</v>
      </c>
      <c r="BX280" s="15">
        <f t="shared" si="1368"/>
        <v>64000</v>
      </c>
      <c r="BZ280" s="15"/>
      <c r="CA280" s="15">
        <f t="shared" si="1369"/>
        <v>64000</v>
      </c>
      <c r="CC280" s="15"/>
      <c r="CD280" s="15">
        <f t="shared" si="1370"/>
        <v>64000</v>
      </c>
      <c r="CF280" s="15"/>
      <c r="CG280" s="15">
        <f t="shared" si="1371"/>
        <v>64000</v>
      </c>
      <c r="CI280" s="15"/>
      <c r="CJ280" s="15">
        <f t="shared" si="1372"/>
        <v>64000</v>
      </c>
      <c r="CM280" s="15">
        <f t="shared" si="1373"/>
        <v>64000</v>
      </c>
      <c r="CP280" s="15">
        <f t="shared" si="1374"/>
        <v>64000</v>
      </c>
      <c r="CS280" s="15">
        <f t="shared" si="1375"/>
        <v>64000</v>
      </c>
      <c r="CU280" s="227">
        <v>-8000</v>
      </c>
      <c r="CV280" s="15">
        <f t="shared" si="1376"/>
        <v>56000</v>
      </c>
      <c r="CX280" s="227"/>
      <c r="CY280" s="15">
        <f t="shared" si="1377"/>
        <v>56000</v>
      </c>
      <c r="DA280" s="15">
        <v>55142</v>
      </c>
      <c r="DC280" s="15">
        <v>60000</v>
      </c>
      <c r="DE280" s="15"/>
      <c r="DF280" s="15">
        <f t="shared" si="1378"/>
        <v>60000</v>
      </c>
      <c r="DH280" s="15"/>
      <c r="DI280" s="15">
        <f t="shared" si="1379"/>
        <v>60000</v>
      </c>
      <c r="DK280" s="15"/>
      <c r="DL280" s="15">
        <f t="shared" si="1380"/>
        <v>60000</v>
      </c>
      <c r="DN280" s="15"/>
      <c r="DO280" s="15">
        <f t="shared" si="1381"/>
        <v>60000</v>
      </c>
      <c r="DQ280" s="15"/>
      <c r="DR280" s="15">
        <f t="shared" si="1382"/>
        <v>60000</v>
      </c>
      <c r="DT280" s="15"/>
      <c r="DU280" s="15">
        <f t="shared" si="1383"/>
        <v>60000</v>
      </c>
      <c r="DW280" s="15"/>
      <c r="DX280" s="15">
        <f t="shared" si="1384"/>
        <v>60000</v>
      </c>
      <c r="DZ280" s="227">
        <v>-39000</v>
      </c>
      <c r="EA280" s="15">
        <f t="shared" si="1385"/>
        <v>21000</v>
      </c>
      <c r="EC280" s="15"/>
      <c r="ED280" s="15">
        <f t="shared" si="1386"/>
        <v>21000</v>
      </c>
      <c r="EF280" s="15"/>
      <c r="EG280" s="15">
        <f t="shared" si="1387"/>
        <v>21000</v>
      </c>
      <c r="EI280" s="15">
        <v>20000</v>
      </c>
      <c r="EK280" s="15">
        <v>50000</v>
      </c>
      <c r="EM280" s="15"/>
      <c r="EN280" s="15">
        <f t="shared" si="1388"/>
        <v>50000</v>
      </c>
      <c r="EP280" s="15"/>
      <c r="EQ280" s="15">
        <f t="shared" si="1389"/>
        <v>50000</v>
      </c>
      <c r="ES280" s="15"/>
      <c r="ET280" s="15">
        <f t="shared" si="1390"/>
        <v>50000</v>
      </c>
      <c r="EW280" s="15">
        <f t="shared" si="1391"/>
        <v>50000</v>
      </c>
      <c r="EZ280" s="15">
        <f t="shared" si="1392"/>
        <v>50000</v>
      </c>
      <c r="FC280" s="15">
        <f t="shared" si="1393"/>
        <v>50000</v>
      </c>
      <c r="FF280" s="15">
        <f t="shared" si="1394"/>
        <v>50000</v>
      </c>
      <c r="FI280" s="15">
        <f t="shared" si="1395"/>
        <v>50000</v>
      </c>
      <c r="FK280" s="227">
        <v>-15000</v>
      </c>
      <c r="FL280" s="15">
        <f t="shared" si="1396"/>
        <v>35000</v>
      </c>
      <c r="FO280" s="15">
        <f t="shared" si="1397"/>
        <v>35000</v>
      </c>
      <c r="FR280" s="15">
        <v>35000</v>
      </c>
      <c r="FT280" s="15">
        <v>29888</v>
      </c>
      <c r="FV280" s="15">
        <v>35000</v>
      </c>
      <c r="FW280" s="235">
        <f t="shared" si="1350"/>
        <v>1.1710385438972162</v>
      </c>
      <c r="FZ280" s="15">
        <f t="shared" si="1398"/>
        <v>35000</v>
      </c>
      <c r="GB280" s="15"/>
      <c r="GC280" s="15">
        <f t="shared" si="1399"/>
        <v>35000</v>
      </c>
      <c r="GE280" s="15"/>
      <c r="GF280" s="15">
        <f t="shared" si="1400"/>
        <v>35000</v>
      </c>
      <c r="GH280" s="15"/>
      <c r="GI280" s="15">
        <f t="shared" si="1401"/>
        <v>35000</v>
      </c>
      <c r="GK280" s="15"/>
      <c r="GL280" s="15">
        <f t="shared" si="1402"/>
        <v>35000</v>
      </c>
      <c r="GN280" s="15"/>
      <c r="GO280" s="15">
        <f t="shared" si="1403"/>
        <v>35000</v>
      </c>
      <c r="GQ280" s="227">
        <v>5000</v>
      </c>
      <c r="GR280" s="15">
        <f t="shared" si="1404"/>
        <v>40000</v>
      </c>
      <c r="GT280" s="15"/>
      <c r="GU280" s="15">
        <f t="shared" si="1405"/>
        <v>40000</v>
      </c>
      <c r="GW280" s="15"/>
      <c r="GX280" s="15">
        <f t="shared" si="1406"/>
        <v>40000</v>
      </c>
      <c r="GZ280" s="15"/>
      <c r="HA280" s="189">
        <f t="shared" si="1407"/>
        <v>40000</v>
      </c>
      <c r="HC280" s="189">
        <v>33564</v>
      </c>
      <c r="HE280" s="15">
        <v>40000</v>
      </c>
      <c r="HF280" s="235">
        <f t="shared" si="1351"/>
        <v>1.191753068764152</v>
      </c>
    </row>
    <row r="281" spans="1:214" outlineLevel="1">
      <c r="A281" s="1" t="s">
        <v>76</v>
      </c>
      <c r="B281" s="1" t="s">
        <v>185</v>
      </c>
      <c r="C281" s="4" t="s">
        <v>186</v>
      </c>
      <c r="D281" s="43">
        <v>68000</v>
      </c>
      <c r="E281" s="34">
        <v>72.09</v>
      </c>
      <c r="F281" s="43">
        <v>68000</v>
      </c>
      <c r="G281" s="34">
        <v>72.09</v>
      </c>
      <c r="H281" s="46">
        <v>49024</v>
      </c>
      <c r="I281" s="36">
        <v>61000</v>
      </c>
      <c r="J281" s="14"/>
      <c r="K281" t="s">
        <v>332</v>
      </c>
      <c r="L281" s="118">
        <v>65000</v>
      </c>
      <c r="M281" s="17">
        <f t="shared" si="1352"/>
        <v>-4.4117647058823484E-2</v>
      </c>
      <c r="N281" s="17">
        <f t="shared" si="1348"/>
        <v>6.5573770491803351E-2</v>
      </c>
      <c r="Q281" s="118">
        <v>65000</v>
      </c>
      <c r="R281" s="15">
        <v>24682</v>
      </c>
      <c r="S281" s="118">
        <v>50000</v>
      </c>
      <c r="T281" s="15">
        <f t="shared" si="1353"/>
        <v>-15000</v>
      </c>
      <c r="U281" s="16">
        <f t="shared" si="1354"/>
        <v>-0.23076923076923073</v>
      </c>
      <c r="Y281" s="118">
        <v>50000</v>
      </c>
      <c r="AA281" s="118">
        <v>51000</v>
      </c>
      <c r="AB281" s="185">
        <f t="shared" si="1355"/>
        <v>1000</v>
      </c>
      <c r="AC281" s="187">
        <f t="shared" si="1356"/>
        <v>1000</v>
      </c>
      <c r="AD281" s="187"/>
      <c r="AE281" s="118">
        <v>53100</v>
      </c>
      <c r="AF281" s="182">
        <f>AE281-AA281</f>
        <v>2100</v>
      </c>
      <c r="AH281" s="15">
        <v>53095</v>
      </c>
      <c r="AI281" s="17">
        <f t="shared" ref="AI281:AI283" si="1410">AH281/AE281</f>
        <v>0.99990583804143129</v>
      </c>
      <c r="AK281" s="118">
        <v>55000</v>
      </c>
      <c r="AR281" s="15"/>
      <c r="AS281" s="15">
        <f t="shared" si="1357"/>
        <v>55000</v>
      </c>
      <c r="AV281" s="15">
        <f t="shared" si="1358"/>
        <v>55000</v>
      </c>
      <c r="AX281" s="15"/>
      <c r="AY281" s="15">
        <f t="shared" si="1359"/>
        <v>55000</v>
      </c>
      <c r="BB281" s="15">
        <f t="shared" si="1360"/>
        <v>55000</v>
      </c>
      <c r="BD281" s="15">
        <v>5000</v>
      </c>
      <c r="BE281" s="15">
        <f t="shared" si="1361"/>
        <v>60000</v>
      </c>
      <c r="BG281" s="15">
        <v>1000</v>
      </c>
      <c r="BH281" s="15">
        <f t="shared" si="1362"/>
        <v>61000</v>
      </c>
      <c r="BJ281" s="15">
        <v>60864</v>
      </c>
      <c r="BK281" s="235">
        <f t="shared" ref="BK281:BK283" si="1411">BJ281/BH281</f>
        <v>0.9977704918032787</v>
      </c>
      <c r="BM281" s="15">
        <f>0.245*BM279</f>
        <v>61250</v>
      </c>
      <c r="BN281" s="235">
        <f t="shared" ref="BN281:BN283" si="1412">BM281/BJ281</f>
        <v>1.0063420084121977</v>
      </c>
      <c r="BO281" s="235">
        <f t="shared" ref="BO281:BO283" si="1413">BM281/BH281</f>
        <v>1.0040983606557377</v>
      </c>
      <c r="BQ281" s="15"/>
      <c r="BR281" s="15">
        <f t="shared" si="1366"/>
        <v>61250</v>
      </c>
      <c r="BT281" s="15"/>
      <c r="BU281" s="15">
        <f t="shared" si="1367"/>
        <v>61250</v>
      </c>
      <c r="BW281" s="15"/>
      <c r="BX281" s="15">
        <f t="shared" si="1368"/>
        <v>61250</v>
      </c>
      <c r="BZ281" s="15"/>
      <c r="CA281" s="15">
        <f t="shared" si="1369"/>
        <v>61250</v>
      </c>
      <c r="CC281" s="15"/>
      <c r="CD281" s="15">
        <f t="shared" si="1370"/>
        <v>61250</v>
      </c>
      <c r="CF281" s="15"/>
      <c r="CG281" s="15">
        <f t="shared" si="1371"/>
        <v>61250</v>
      </c>
      <c r="CI281" s="15"/>
      <c r="CJ281" s="15">
        <f t="shared" si="1372"/>
        <v>61250</v>
      </c>
      <c r="CM281" s="15">
        <f t="shared" si="1373"/>
        <v>61250</v>
      </c>
      <c r="CO281" s="15">
        <v>2700</v>
      </c>
      <c r="CP281" s="15">
        <f t="shared" si="1374"/>
        <v>63950</v>
      </c>
      <c r="CS281" s="15">
        <f t="shared" si="1375"/>
        <v>63950</v>
      </c>
      <c r="CU281" s="227">
        <v>7500</v>
      </c>
      <c r="CV281" s="15">
        <f t="shared" si="1376"/>
        <v>71450</v>
      </c>
      <c r="CX281" s="227"/>
      <c r="CY281" s="15">
        <f t="shared" si="1377"/>
        <v>71450</v>
      </c>
      <c r="DA281" s="15">
        <v>71085</v>
      </c>
      <c r="DC281" s="15">
        <f>DC279*0.25</f>
        <v>95000</v>
      </c>
      <c r="DE281" s="15"/>
      <c r="DF281" s="15">
        <f t="shared" si="1378"/>
        <v>95000</v>
      </c>
      <c r="DH281" s="15"/>
      <c r="DI281" s="15">
        <f t="shared" si="1379"/>
        <v>95000</v>
      </c>
      <c r="DK281" s="15"/>
      <c r="DL281" s="15">
        <f t="shared" si="1380"/>
        <v>95000</v>
      </c>
      <c r="DN281" s="15"/>
      <c r="DO281" s="15">
        <f t="shared" si="1381"/>
        <v>95000</v>
      </c>
      <c r="DQ281" s="15"/>
      <c r="DR281" s="15">
        <f t="shared" si="1382"/>
        <v>95000</v>
      </c>
      <c r="DT281" s="15"/>
      <c r="DU281" s="15">
        <f t="shared" si="1383"/>
        <v>95000</v>
      </c>
      <c r="DW281" s="15"/>
      <c r="DX281" s="15">
        <f t="shared" si="1384"/>
        <v>95000</v>
      </c>
      <c r="DZ281" s="15"/>
      <c r="EA281" s="15">
        <f t="shared" si="1385"/>
        <v>95000</v>
      </c>
      <c r="EC281" s="15"/>
      <c r="ED281" s="15">
        <f t="shared" si="1386"/>
        <v>95000</v>
      </c>
      <c r="EF281" s="15"/>
      <c r="EG281" s="15">
        <f t="shared" si="1387"/>
        <v>95000</v>
      </c>
      <c r="EI281" s="15">
        <v>92136</v>
      </c>
      <c r="EK281" s="15">
        <v>100000</v>
      </c>
      <c r="EM281" s="15"/>
      <c r="EN281" s="15">
        <f t="shared" si="1388"/>
        <v>100000</v>
      </c>
      <c r="EP281" s="15"/>
      <c r="EQ281" s="15">
        <f t="shared" si="1389"/>
        <v>100000</v>
      </c>
      <c r="ES281" s="15"/>
      <c r="ET281" s="15">
        <f t="shared" si="1390"/>
        <v>100000</v>
      </c>
      <c r="EW281" s="15">
        <f t="shared" si="1391"/>
        <v>100000</v>
      </c>
      <c r="EZ281" s="15">
        <f t="shared" si="1392"/>
        <v>100000</v>
      </c>
      <c r="FC281" s="15">
        <f t="shared" si="1393"/>
        <v>100000</v>
      </c>
      <c r="FF281" s="15">
        <f t="shared" si="1394"/>
        <v>100000</v>
      </c>
      <c r="FI281" s="15">
        <f t="shared" si="1395"/>
        <v>100000</v>
      </c>
      <c r="FK281" s="227">
        <v>8000</v>
      </c>
      <c r="FL281" s="15">
        <f t="shared" si="1396"/>
        <v>108000</v>
      </c>
      <c r="FN281" s="227">
        <v>7300</v>
      </c>
      <c r="FO281" s="15">
        <f t="shared" si="1397"/>
        <v>115300</v>
      </c>
      <c r="FR281" s="15">
        <v>115300</v>
      </c>
      <c r="FT281" s="15">
        <v>115248</v>
      </c>
      <c r="FV281" s="15">
        <v>129000</v>
      </c>
      <c r="FW281" s="235">
        <f t="shared" si="1350"/>
        <v>1.1193252811328613</v>
      </c>
      <c r="FZ281" s="15">
        <f t="shared" si="1398"/>
        <v>129000</v>
      </c>
      <c r="GB281" s="15"/>
      <c r="GC281" s="15">
        <f t="shared" si="1399"/>
        <v>129000</v>
      </c>
      <c r="GE281" s="227">
        <v>15000</v>
      </c>
      <c r="GF281" s="15">
        <f t="shared" si="1400"/>
        <v>144000</v>
      </c>
      <c r="GH281" s="15"/>
      <c r="GI281" s="15">
        <f t="shared" si="1401"/>
        <v>144000</v>
      </c>
      <c r="GK281" s="15"/>
      <c r="GL281" s="15">
        <f t="shared" si="1402"/>
        <v>144000</v>
      </c>
      <c r="GN281" s="15"/>
      <c r="GO281" s="15">
        <f t="shared" si="1403"/>
        <v>144000</v>
      </c>
      <c r="GQ281" s="15"/>
      <c r="GR281" s="15">
        <f t="shared" si="1404"/>
        <v>144000</v>
      </c>
      <c r="GT281" s="15"/>
      <c r="GU281" s="15">
        <f t="shared" si="1405"/>
        <v>144000</v>
      </c>
      <c r="GW281" s="15"/>
      <c r="GX281" s="15">
        <f t="shared" si="1406"/>
        <v>144000</v>
      </c>
      <c r="GZ281" s="15"/>
      <c r="HA281" s="189">
        <f t="shared" si="1407"/>
        <v>144000</v>
      </c>
      <c r="HC281" s="189">
        <v>127193</v>
      </c>
      <c r="HE281" s="15">
        <v>117000</v>
      </c>
      <c r="HF281" s="235">
        <f t="shared" si="1351"/>
        <v>0.91986194208800798</v>
      </c>
    </row>
    <row r="282" spans="1:214" outlineLevel="1">
      <c r="A282" s="1" t="s">
        <v>76</v>
      </c>
      <c r="B282" s="1" t="s">
        <v>187</v>
      </c>
      <c r="C282" s="4" t="s">
        <v>188</v>
      </c>
      <c r="D282" s="43">
        <v>24000</v>
      </c>
      <c r="E282" s="34">
        <v>73.78</v>
      </c>
      <c r="F282" s="43">
        <v>24000</v>
      </c>
      <c r="G282" s="34">
        <v>73.78</v>
      </c>
      <c r="H282" s="46">
        <v>17708</v>
      </c>
      <c r="I282" s="36">
        <v>22000</v>
      </c>
      <c r="J282" s="14"/>
      <c r="K282" t="s">
        <v>332</v>
      </c>
      <c r="L282" s="118">
        <v>24000</v>
      </c>
      <c r="M282" s="17">
        <f t="shared" si="1352"/>
        <v>0</v>
      </c>
      <c r="N282" s="17">
        <f t="shared" si="1348"/>
        <v>9.0909090909090828E-2</v>
      </c>
      <c r="Q282" s="118">
        <v>24000</v>
      </c>
      <c r="R282" s="15">
        <v>8960</v>
      </c>
      <c r="S282" s="118">
        <v>21000</v>
      </c>
      <c r="T282" s="15">
        <f t="shared" si="1353"/>
        <v>-3000</v>
      </c>
      <c r="U282" s="16">
        <f t="shared" si="1354"/>
        <v>-0.125</v>
      </c>
      <c r="Y282" s="118">
        <v>21000</v>
      </c>
      <c r="AA282" s="118">
        <v>18500</v>
      </c>
      <c r="AB282" s="185">
        <f t="shared" si="1355"/>
        <v>-2500</v>
      </c>
      <c r="AC282" s="187">
        <f t="shared" si="1356"/>
        <v>-2500</v>
      </c>
      <c r="AD282" s="187"/>
      <c r="AE282" s="118">
        <v>19300</v>
      </c>
      <c r="AF282" s="182">
        <f>AE282-AA282</f>
        <v>800</v>
      </c>
      <c r="AH282" s="15">
        <v>19273</v>
      </c>
      <c r="AI282" s="17">
        <f t="shared" si="1410"/>
        <v>0.99860103626943009</v>
      </c>
      <c r="AK282" s="118">
        <v>23000</v>
      </c>
      <c r="AR282" s="15"/>
      <c r="AS282" s="15">
        <f t="shared" si="1357"/>
        <v>23000</v>
      </c>
      <c r="AV282" s="15">
        <f t="shared" si="1358"/>
        <v>23000</v>
      </c>
      <c r="AX282" s="15"/>
      <c r="AY282" s="15">
        <f t="shared" si="1359"/>
        <v>23000</v>
      </c>
      <c r="BB282" s="15">
        <f t="shared" si="1360"/>
        <v>23000</v>
      </c>
      <c r="BD282" s="15">
        <v>2000</v>
      </c>
      <c r="BE282" s="15">
        <f t="shared" si="1361"/>
        <v>25000</v>
      </c>
      <c r="BG282" s="15"/>
      <c r="BH282" s="15">
        <f t="shared" si="1362"/>
        <v>25000</v>
      </c>
      <c r="BJ282" s="15">
        <v>19642</v>
      </c>
      <c r="BK282" s="235">
        <f t="shared" si="1411"/>
        <v>0.78568000000000005</v>
      </c>
      <c r="BM282" s="15">
        <f>0.09*BM279</f>
        <v>22500</v>
      </c>
      <c r="BN282" s="235">
        <f t="shared" si="1412"/>
        <v>1.1455045311068119</v>
      </c>
      <c r="BO282" s="235">
        <f t="shared" si="1413"/>
        <v>0.9</v>
      </c>
      <c r="BQ282" s="15"/>
      <c r="BR282" s="15">
        <f t="shared" si="1366"/>
        <v>22500</v>
      </c>
      <c r="BT282" s="15"/>
      <c r="BU282" s="15">
        <f t="shared" si="1367"/>
        <v>22500</v>
      </c>
      <c r="BW282" s="15"/>
      <c r="BX282" s="15">
        <f t="shared" si="1368"/>
        <v>22500</v>
      </c>
      <c r="BZ282" s="15"/>
      <c r="CA282" s="15">
        <f t="shared" si="1369"/>
        <v>22500</v>
      </c>
      <c r="CC282" s="15"/>
      <c r="CD282" s="15">
        <f t="shared" si="1370"/>
        <v>22500</v>
      </c>
      <c r="CF282" s="15"/>
      <c r="CG282" s="15">
        <f t="shared" si="1371"/>
        <v>22500</v>
      </c>
      <c r="CI282" s="15"/>
      <c r="CJ282" s="15">
        <f t="shared" si="1372"/>
        <v>22500</v>
      </c>
      <c r="CM282" s="15">
        <f t="shared" si="1373"/>
        <v>22500</v>
      </c>
      <c r="CP282" s="15">
        <f t="shared" si="1374"/>
        <v>22500</v>
      </c>
      <c r="CS282" s="15">
        <f t="shared" si="1375"/>
        <v>22500</v>
      </c>
      <c r="CU282" s="227">
        <v>-1500</v>
      </c>
      <c r="CV282" s="15">
        <f t="shared" si="1376"/>
        <v>21000</v>
      </c>
      <c r="CX282" s="227"/>
      <c r="CY282" s="15">
        <f t="shared" si="1377"/>
        <v>21000</v>
      </c>
      <c r="DA282" s="15">
        <v>20930</v>
      </c>
      <c r="DC282" s="15">
        <f>DC279*0.1</f>
        <v>38000</v>
      </c>
      <c r="DE282" s="15"/>
      <c r="DF282" s="15">
        <f t="shared" si="1378"/>
        <v>38000</v>
      </c>
      <c r="DH282" s="15"/>
      <c r="DI282" s="15">
        <f t="shared" si="1379"/>
        <v>38000</v>
      </c>
      <c r="DK282" s="15"/>
      <c r="DL282" s="15">
        <f t="shared" si="1380"/>
        <v>38000</v>
      </c>
      <c r="DN282" s="15"/>
      <c r="DO282" s="15">
        <f t="shared" si="1381"/>
        <v>38000</v>
      </c>
      <c r="DQ282" s="15"/>
      <c r="DR282" s="15">
        <f t="shared" si="1382"/>
        <v>38000</v>
      </c>
      <c r="DT282" s="15"/>
      <c r="DU282" s="15">
        <f t="shared" si="1383"/>
        <v>38000</v>
      </c>
      <c r="DW282" s="15"/>
      <c r="DX282" s="15">
        <f t="shared" si="1384"/>
        <v>38000</v>
      </c>
      <c r="DZ282" s="15"/>
      <c r="EA282" s="15">
        <f t="shared" si="1385"/>
        <v>38000</v>
      </c>
      <c r="EC282" s="15"/>
      <c r="ED282" s="15">
        <f t="shared" si="1386"/>
        <v>38000</v>
      </c>
      <c r="EF282" s="227">
        <v>-4000</v>
      </c>
      <c r="EG282" s="15">
        <f t="shared" si="1387"/>
        <v>34000</v>
      </c>
      <c r="EI282" s="15">
        <v>33437</v>
      </c>
      <c r="EK282" s="15">
        <v>50000</v>
      </c>
      <c r="EM282" s="15"/>
      <c r="EN282" s="15">
        <f t="shared" si="1388"/>
        <v>50000</v>
      </c>
      <c r="EP282" s="15"/>
      <c r="EQ282" s="15">
        <f t="shared" si="1389"/>
        <v>50000</v>
      </c>
      <c r="ES282" s="15"/>
      <c r="ET282" s="15">
        <f t="shared" si="1390"/>
        <v>50000</v>
      </c>
      <c r="EW282" s="15">
        <f t="shared" si="1391"/>
        <v>50000</v>
      </c>
      <c r="EZ282" s="15">
        <f t="shared" si="1392"/>
        <v>50000</v>
      </c>
      <c r="FC282" s="15">
        <f t="shared" si="1393"/>
        <v>50000</v>
      </c>
      <c r="FF282" s="15">
        <f t="shared" si="1394"/>
        <v>50000</v>
      </c>
      <c r="FI282" s="15">
        <f t="shared" si="1395"/>
        <v>50000</v>
      </c>
      <c r="FL282" s="15">
        <f t="shared" si="1396"/>
        <v>50000</v>
      </c>
      <c r="FO282" s="15">
        <f t="shared" si="1397"/>
        <v>50000</v>
      </c>
      <c r="FR282" s="15">
        <v>50000</v>
      </c>
      <c r="FT282" s="15">
        <v>41822</v>
      </c>
      <c r="FV282" s="15">
        <v>47000</v>
      </c>
      <c r="FW282" s="235">
        <f t="shared" si="1350"/>
        <v>1.1238104346994404</v>
      </c>
      <c r="FZ282" s="15">
        <f t="shared" si="1398"/>
        <v>47000</v>
      </c>
      <c r="GB282" s="15"/>
      <c r="GC282" s="15">
        <f t="shared" si="1399"/>
        <v>47000</v>
      </c>
      <c r="GE282" s="227">
        <v>5000</v>
      </c>
      <c r="GF282" s="15">
        <f t="shared" si="1400"/>
        <v>52000</v>
      </c>
      <c r="GH282" s="15"/>
      <c r="GI282" s="15">
        <f t="shared" si="1401"/>
        <v>52000</v>
      </c>
      <c r="GK282" s="15"/>
      <c r="GL282" s="15">
        <f t="shared" si="1402"/>
        <v>52000</v>
      </c>
      <c r="GN282" s="15"/>
      <c r="GO282" s="15">
        <f t="shared" si="1403"/>
        <v>52000</v>
      </c>
      <c r="GQ282" s="15"/>
      <c r="GR282" s="15">
        <f t="shared" si="1404"/>
        <v>52000</v>
      </c>
      <c r="GT282" s="15"/>
      <c r="GU282" s="15">
        <f t="shared" si="1405"/>
        <v>52000</v>
      </c>
      <c r="GW282" s="15"/>
      <c r="GX282" s="15">
        <f t="shared" si="1406"/>
        <v>52000</v>
      </c>
      <c r="GZ282" s="15"/>
      <c r="HA282" s="189">
        <f t="shared" si="1407"/>
        <v>52000</v>
      </c>
      <c r="HC282" s="189">
        <v>46160</v>
      </c>
      <c r="HE282" s="15">
        <v>41000</v>
      </c>
      <c r="HF282" s="235">
        <f t="shared" si="1351"/>
        <v>0.88821490467937614</v>
      </c>
    </row>
    <row r="283" spans="1:214" outlineLevel="1">
      <c r="A283" s="1" t="s">
        <v>76</v>
      </c>
      <c r="B283" s="1" t="s">
        <v>223</v>
      </c>
      <c r="C283" s="4" t="s">
        <v>224</v>
      </c>
      <c r="D283" s="43">
        <v>2500</v>
      </c>
      <c r="E283" s="34">
        <v>65.36</v>
      </c>
      <c r="F283" s="43">
        <v>2500</v>
      </c>
      <c r="G283" s="34">
        <v>65.36</v>
      </c>
      <c r="H283" s="46">
        <v>1634</v>
      </c>
      <c r="I283" s="36">
        <v>2500</v>
      </c>
      <c r="J283" s="14"/>
      <c r="K283" t="s">
        <v>332</v>
      </c>
      <c r="L283" s="118">
        <v>2500</v>
      </c>
      <c r="M283" s="17">
        <f t="shared" si="1352"/>
        <v>0</v>
      </c>
      <c r="N283" s="17">
        <f t="shared" si="1348"/>
        <v>0</v>
      </c>
      <c r="Q283" s="118">
        <v>2500</v>
      </c>
      <c r="R283" s="15">
        <v>884</v>
      </c>
      <c r="S283" s="118">
        <v>2000</v>
      </c>
      <c r="T283" s="15">
        <f t="shared" si="1353"/>
        <v>-500</v>
      </c>
      <c r="U283" s="16">
        <f t="shared" si="1354"/>
        <v>-0.19999999999999996</v>
      </c>
      <c r="Y283" s="118">
        <v>2000</v>
      </c>
      <c r="AA283" s="118">
        <v>2000</v>
      </c>
      <c r="AB283" s="185">
        <f t="shared" si="1355"/>
        <v>0</v>
      </c>
      <c r="AC283" s="187">
        <f t="shared" si="1356"/>
        <v>0</v>
      </c>
      <c r="AD283" s="187"/>
      <c r="AE283" s="118">
        <v>2000</v>
      </c>
      <c r="AF283" s="182"/>
      <c r="AH283" s="15">
        <v>1966</v>
      </c>
      <c r="AI283" s="17">
        <f t="shared" si="1410"/>
        <v>0.98299999999999998</v>
      </c>
      <c r="AK283" s="118">
        <v>2000</v>
      </c>
      <c r="AR283" s="15"/>
      <c r="AS283" s="15">
        <f t="shared" si="1357"/>
        <v>2000</v>
      </c>
      <c r="AV283" s="15">
        <f t="shared" si="1358"/>
        <v>2000</v>
      </c>
      <c r="AX283" s="15"/>
      <c r="AY283" s="15">
        <f t="shared" si="1359"/>
        <v>2000</v>
      </c>
      <c r="BB283" s="15">
        <f t="shared" si="1360"/>
        <v>2000</v>
      </c>
      <c r="BD283" s="15">
        <v>1000</v>
      </c>
      <c r="BE283" s="15">
        <f t="shared" si="1361"/>
        <v>3000</v>
      </c>
      <c r="BG283" s="15"/>
      <c r="BH283" s="15">
        <f t="shared" si="1362"/>
        <v>3000</v>
      </c>
      <c r="BJ283" s="15">
        <v>2379</v>
      </c>
      <c r="BK283" s="235">
        <f t="shared" si="1411"/>
        <v>0.79300000000000004</v>
      </c>
      <c r="BM283" s="15">
        <v>3000</v>
      </c>
      <c r="BN283" s="235">
        <f t="shared" si="1412"/>
        <v>1.2610340479192939</v>
      </c>
      <c r="BO283" s="235">
        <f t="shared" si="1413"/>
        <v>1</v>
      </c>
      <c r="BQ283" s="15"/>
      <c r="BR283" s="15">
        <f t="shared" si="1366"/>
        <v>3000</v>
      </c>
      <c r="BT283" s="15"/>
      <c r="BU283" s="15">
        <f t="shared" si="1367"/>
        <v>3000</v>
      </c>
      <c r="BW283" s="15"/>
      <c r="BX283" s="15">
        <f t="shared" si="1368"/>
        <v>3000</v>
      </c>
      <c r="BZ283" s="15"/>
      <c r="CA283" s="15">
        <f t="shared" si="1369"/>
        <v>3000</v>
      </c>
      <c r="CC283" s="15"/>
      <c r="CD283" s="15">
        <f t="shared" si="1370"/>
        <v>3000</v>
      </c>
      <c r="CF283" s="15"/>
      <c r="CG283" s="15">
        <f t="shared" si="1371"/>
        <v>3000</v>
      </c>
      <c r="CI283" s="15"/>
      <c r="CJ283" s="15">
        <f t="shared" si="1372"/>
        <v>3000</v>
      </c>
      <c r="CM283" s="15">
        <f t="shared" si="1373"/>
        <v>3000</v>
      </c>
      <c r="CP283" s="15">
        <f t="shared" si="1374"/>
        <v>3000</v>
      </c>
      <c r="CS283" s="15">
        <f t="shared" si="1375"/>
        <v>3000</v>
      </c>
      <c r="CV283" s="15">
        <f t="shared" si="1376"/>
        <v>3000</v>
      </c>
      <c r="CY283" s="15">
        <f t="shared" si="1377"/>
        <v>3000</v>
      </c>
      <c r="DA283" s="15">
        <v>2178</v>
      </c>
      <c r="DC283" s="15">
        <v>3000</v>
      </c>
      <c r="DE283" s="15"/>
      <c r="DF283" s="15">
        <f t="shared" si="1378"/>
        <v>3000</v>
      </c>
      <c r="DH283" s="15"/>
      <c r="DI283" s="15">
        <f t="shared" si="1379"/>
        <v>3000</v>
      </c>
      <c r="DK283" s="15"/>
      <c r="DL283" s="15">
        <f t="shared" si="1380"/>
        <v>3000</v>
      </c>
      <c r="DN283" s="15"/>
      <c r="DO283" s="15">
        <f t="shared" si="1381"/>
        <v>3000</v>
      </c>
      <c r="DQ283" s="15"/>
      <c r="DR283" s="15">
        <f t="shared" si="1382"/>
        <v>3000</v>
      </c>
      <c r="DT283" s="15"/>
      <c r="DU283" s="15">
        <f t="shared" si="1383"/>
        <v>3000</v>
      </c>
      <c r="DW283" s="15"/>
      <c r="DX283" s="15">
        <f t="shared" si="1384"/>
        <v>3000</v>
      </c>
      <c r="DZ283" s="227">
        <v>1000</v>
      </c>
      <c r="EA283" s="15">
        <f t="shared" si="1385"/>
        <v>4000</v>
      </c>
      <c r="EC283" s="15"/>
      <c r="ED283" s="15">
        <f t="shared" si="1386"/>
        <v>4000</v>
      </c>
      <c r="EF283" s="15"/>
      <c r="EG283" s="15">
        <f t="shared" si="1387"/>
        <v>4000</v>
      </c>
      <c r="EI283" s="15">
        <v>3611</v>
      </c>
      <c r="EK283" s="15">
        <v>5000</v>
      </c>
      <c r="EM283" s="15"/>
      <c r="EN283" s="15">
        <f t="shared" si="1388"/>
        <v>5000</v>
      </c>
      <c r="EP283" s="15"/>
      <c r="EQ283" s="15">
        <f t="shared" si="1389"/>
        <v>5000</v>
      </c>
      <c r="ES283" s="15"/>
      <c r="ET283" s="15">
        <f t="shared" si="1390"/>
        <v>5000</v>
      </c>
      <c r="EW283" s="15">
        <f t="shared" si="1391"/>
        <v>5000</v>
      </c>
      <c r="EZ283" s="15">
        <f t="shared" si="1392"/>
        <v>5000</v>
      </c>
      <c r="FC283" s="15">
        <f t="shared" si="1393"/>
        <v>5000</v>
      </c>
      <c r="FF283" s="15">
        <f t="shared" si="1394"/>
        <v>5000</v>
      </c>
      <c r="FI283" s="15">
        <f t="shared" si="1395"/>
        <v>5000</v>
      </c>
      <c r="FK283" s="227">
        <v>1000</v>
      </c>
      <c r="FL283" s="15">
        <f t="shared" si="1396"/>
        <v>6000</v>
      </c>
      <c r="FO283" s="15">
        <f t="shared" si="1397"/>
        <v>6000</v>
      </c>
      <c r="FR283" s="15">
        <v>6000</v>
      </c>
      <c r="FT283" s="15">
        <v>3960</v>
      </c>
      <c r="FV283" s="15">
        <v>4500</v>
      </c>
      <c r="FW283" s="235">
        <f t="shared" si="1350"/>
        <v>1.1363636363636365</v>
      </c>
      <c r="FZ283" s="15">
        <f t="shared" si="1398"/>
        <v>4500</v>
      </c>
      <c r="GB283" s="15"/>
      <c r="GC283" s="15">
        <f t="shared" si="1399"/>
        <v>4500</v>
      </c>
      <c r="GE283" s="15"/>
      <c r="GF283" s="15">
        <f t="shared" si="1400"/>
        <v>4500</v>
      </c>
      <c r="GH283" s="15"/>
      <c r="GI283" s="15">
        <f t="shared" si="1401"/>
        <v>4500</v>
      </c>
      <c r="GK283" s="15"/>
      <c r="GL283" s="15">
        <f t="shared" si="1402"/>
        <v>4500</v>
      </c>
      <c r="GN283" s="15"/>
      <c r="GO283" s="15">
        <f t="shared" si="1403"/>
        <v>4500</v>
      </c>
      <c r="GQ283" s="15"/>
      <c r="GR283" s="15">
        <f t="shared" si="1404"/>
        <v>4500</v>
      </c>
      <c r="GT283" s="15"/>
      <c r="GU283" s="15">
        <f t="shared" si="1405"/>
        <v>4500</v>
      </c>
      <c r="GW283" s="15"/>
      <c r="GX283" s="15">
        <f t="shared" si="1406"/>
        <v>4500</v>
      </c>
      <c r="GZ283" s="15"/>
      <c r="HA283" s="189">
        <f t="shared" si="1407"/>
        <v>4500</v>
      </c>
      <c r="HC283" s="189">
        <v>3912</v>
      </c>
      <c r="HE283" s="15">
        <v>3500</v>
      </c>
      <c r="HF283" s="235">
        <f t="shared" si="1351"/>
        <v>0.89468302658486709</v>
      </c>
    </row>
    <row r="284" spans="1:214" outlineLevel="1">
      <c r="A284" s="1" t="s">
        <v>76</v>
      </c>
      <c r="B284" s="1" t="s">
        <v>307</v>
      </c>
      <c r="C284" s="4" t="s">
        <v>308</v>
      </c>
      <c r="D284" s="43">
        <v>0</v>
      </c>
      <c r="E284" s="34">
        <v>0</v>
      </c>
      <c r="F284" s="43">
        <v>0</v>
      </c>
      <c r="G284" s="34">
        <v>0</v>
      </c>
      <c r="H284" s="46">
        <v>1029</v>
      </c>
      <c r="I284" s="36">
        <v>1029</v>
      </c>
      <c r="J284" s="14"/>
      <c r="L284" s="118">
        <v>1100</v>
      </c>
      <c r="M284" s="17" t="e">
        <f t="shared" si="1352"/>
        <v>#DIV/0!</v>
      </c>
      <c r="N284" s="17">
        <f t="shared" si="1348"/>
        <v>6.899902818270176E-2</v>
      </c>
      <c r="Q284" s="118">
        <v>1100</v>
      </c>
      <c r="R284" s="15">
        <v>0</v>
      </c>
      <c r="S284" s="118">
        <v>0</v>
      </c>
      <c r="T284" s="15">
        <f t="shared" si="1353"/>
        <v>-1100</v>
      </c>
      <c r="U284" s="16">
        <f t="shared" si="1354"/>
        <v>-1</v>
      </c>
      <c r="Y284" s="118">
        <v>0</v>
      </c>
      <c r="AA284" s="118">
        <v>0</v>
      </c>
      <c r="AB284" s="185">
        <f t="shared" si="1355"/>
        <v>0</v>
      </c>
      <c r="AC284" s="187">
        <f t="shared" si="1356"/>
        <v>0</v>
      </c>
      <c r="AD284" s="187"/>
      <c r="AE284" s="118">
        <v>0</v>
      </c>
      <c r="AF284" s="182"/>
      <c r="AH284" s="15">
        <v>0</v>
      </c>
      <c r="AR284" s="15"/>
      <c r="AS284" s="15">
        <f t="shared" si="1357"/>
        <v>0</v>
      </c>
      <c r="AV284" s="15">
        <f t="shared" si="1358"/>
        <v>0</v>
      </c>
      <c r="AX284" s="15"/>
      <c r="AY284" s="15">
        <f t="shared" si="1359"/>
        <v>0</v>
      </c>
      <c r="BB284" s="15">
        <f t="shared" si="1360"/>
        <v>0</v>
      </c>
      <c r="BD284" s="15"/>
      <c r="BE284" s="15">
        <f t="shared" si="1361"/>
        <v>0</v>
      </c>
      <c r="BG284" s="15"/>
      <c r="BH284" s="15">
        <f t="shared" si="1362"/>
        <v>0</v>
      </c>
      <c r="BQ284" s="15"/>
      <c r="BR284" s="15">
        <f t="shared" si="1366"/>
        <v>0</v>
      </c>
      <c r="BT284" s="15"/>
      <c r="BU284" s="15">
        <f t="shared" si="1367"/>
        <v>0</v>
      </c>
      <c r="BW284" s="15"/>
      <c r="BX284" s="15">
        <f t="shared" si="1368"/>
        <v>0</v>
      </c>
      <c r="BZ284" s="15"/>
      <c r="CA284" s="15">
        <f t="shared" si="1369"/>
        <v>0</v>
      </c>
      <c r="CC284" s="15"/>
      <c r="CD284" s="15">
        <f t="shared" si="1370"/>
        <v>0</v>
      </c>
      <c r="CF284" s="15"/>
      <c r="CG284" s="15">
        <f t="shared" si="1371"/>
        <v>0</v>
      </c>
      <c r="CI284" s="15"/>
      <c r="CJ284" s="15">
        <f t="shared" si="1372"/>
        <v>0</v>
      </c>
      <c r="CM284" s="15">
        <f t="shared" si="1373"/>
        <v>0</v>
      </c>
      <c r="CP284" s="15">
        <f t="shared" si="1374"/>
        <v>0</v>
      </c>
      <c r="CS284" s="15">
        <f t="shared" si="1375"/>
        <v>0</v>
      </c>
      <c r="CV284" s="15">
        <f t="shared" si="1376"/>
        <v>0</v>
      </c>
      <c r="CY284" s="15">
        <f t="shared" si="1377"/>
        <v>0</v>
      </c>
      <c r="DA284" s="15">
        <v>0</v>
      </c>
      <c r="DE284" s="15"/>
      <c r="DF284" s="15">
        <f t="shared" si="1378"/>
        <v>0</v>
      </c>
      <c r="DH284" s="15"/>
      <c r="DI284" s="15">
        <f t="shared" si="1379"/>
        <v>0</v>
      </c>
      <c r="DK284" s="15"/>
      <c r="DL284" s="15">
        <f t="shared" si="1380"/>
        <v>0</v>
      </c>
      <c r="DN284" s="15"/>
      <c r="DO284" s="15">
        <f t="shared" si="1381"/>
        <v>0</v>
      </c>
      <c r="DQ284" s="15"/>
      <c r="DR284" s="15">
        <f t="shared" si="1382"/>
        <v>0</v>
      </c>
      <c r="DT284" s="15"/>
      <c r="DU284" s="15">
        <f t="shared" si="1383"/>
        <v>0</v>
      </c>
      <c r="DW284" s="15"/>
      <c r="DX284" s="15">
        <f t="shared" si="1384"/>
        <v>0</v>
      </c>
      <c r="DZ284" s="15"/>
      <c r="EA284" s="15">
        <f t="shared" si="1385"/>
        <v>0</v>
      </c>
      <c r="EC284" s="15"/>
      <c r="ED284" s="15">
        <f>EA284+EC284</f>
        <v>0</v>
      </c>
      <c r="EF284" s="15"/>
      <c r="EG284" s="15">
        <f>ED284+EF284</f>
        <v>0</v>
      </c>
      <c r="EK284" s="15"/>
      <c r="EM284" s="15"/>
      <c r="EN284" s="15">
        <f t="shared" si="1388"/>
        <v>0</v>
      </c>
      <c r="EP284" s="15"/>
      <c r="EQ284" s="15">
        <f t="shared" si="1389"/>
        <v>0</v>
      </c>
      <c r="ES284" s="15"/>
      <c r="ET284" s="15">
        <f t="shared" si="1390"/>
        <v>0</v>
      </c>
      <c r="EW284" s="15">
        <f t="shared" si="1391"/>
        <v>0</v>
      </c>
      <c r="EZ284" s="15">
        <f t="shared" si="1392"/>
        <v>0</v>
      </c>
      <c r="FC284" s="15">
        <f t="shared" si="1393"/>
        <v>0</v>
      </c>
      <c r="FF284" s="15">
        <f t="shared" si="1394"/>
        <v>0</v>
      </c>
      <c r="FI284" s="15">
        <f t="shared" si="1395"/>
        <v>0</v>
      </c>
      <c r="FL284" s="15">
        <f t="shared" si="1396"/>
        <v>0</v>
      </c>
      <c r="FO284" s="15">
        <f t="shared" si="1397"/>
        <v>0</v>
      </c>
      <c r="FR284" s="15">
        <v>0</v>
      </c>
      <c r="FT284" s="15">
        <v>0</v>
      </c>
      <c r="FV284" s="15">
        <v>0</v>
      </c>
      <c r="FW284" s="235" t="e">
        <f t="shared" si="1350"/>
        <v>#DIV/0!</v>
      </c>
      <c r="FZ284" s="15">
        <f t="shared" si="1398"/>
        <v>0</v>
      </c>
      <c r="GB284" s="15"/>
      <c r="GC284" s="15">
        <f t="shared" si="1399"/>
        <v>0</v>
      </c>
      <c r="GE284" s="15"/>
      <c r="GF284" s="15">
        <f t="shared" si="1400"/>
        <v>0</v>
      </c>
      <c r="GH284" s="15"/>
      <c r="GI284" s="15">
        <f t="shared" si="1401"/>
        <v>0</v>
      </c>
      <c r="GK284" s="15"/>
      <c r="GL284" s="15">
        <f t="shared" si="1402"/>
        <v>0</v>
      </c>
      <c r="GN284" s="15"/>
      <c r="GO284" s="15">
        <f t="shared" si="1403"/>
        <v>0</v>
      </c>
      <c r="GQ284" s="15"/>
      <c r="GR284" s="15">
        <f t="shared" si="1404"/>
        <v>0</v>
      </c>
      <c r="GT284" s="15"/>
      <c r="GU284" s="15">
        <f t="shared" si="1405"/>
        <v>0</v>
      </c>
      <c r="GW284" s="15"/>
      <c r="GX284" s="15">
        <f t="shared" si="1406"/>
        <v>0</v>
      </c>
      <c r="GZ284" s="15"/>
      <c r="HA284" s="189">
        <f t="shared" si="1407"/>
        <v>0</v>
      </c>
      <c r="HF284" s="235" t="e">
        <f t="shared" si="1351"/>
        <v>#DIV/0!</v>
      </c>
    </row>
    <row r="285" spans="1:214" outlineLevel="1">
      <c r="A285" s="1" t="s">
        <v>76</v>
      </c>
      <c r="B285" s="1" t="s">
        <v>438</v>
      </c>
      <c r="C285" s="4" t="s">
        <v>439</v>
      </c>
      <c r="D285" s="43"/>
      <c r="E285" s="34"/>
      <c r="F285" s="43"/>
      <c r="G285" s="34"/>
      <c r="H285" s="46"/>
      <c r="I285" s="36"/>
      <c r="J285" s="14"/>
      <c r="M285" s="17"/>
      <c r="N285" s="17"/>
      <c r="U285" s="16"/>
      <c r="Y285" s="118"/>
      <c r="AB285" s="185"/>
      <c r="AC285" s="187"/>
      <c r="AD285" s="187"/>
      <c r="AE285" s="118">
        <v>1000</v>
      </c>
      <c r="AF285" s="182">
        <f>AE285-AA285</f>
        <v>1000</v>
      </c>
      <c r="AH285" s="15">
        <v>1000</v>
      </c>
      <c r="AI285" s="17">
        <f t="shared" ref="AI285" si="1414">AH285/AE285</f>
        <v>1</v>
      </c>
      <c r="AK285" s="118">
        <v>1000</v>
      </c>
      <c r="AR285" s="15"/>
      <c r="AS285" s="15">
        <f t="shared" si="1357"/>
        <v>1000</v>
      </c>
      <c r="AV285" s="15">
        <f t="shared" si="1358"/>
        <v>1000</v>
      </c>
      <c r="AX285" s="15"/>
      <c r="AY285" s="15">
        <f t="shared" si="1359"/>
        <v>1000</v>
      </c>
      <c r="BB285" s="15">
        <f t="shared" si="1360"/>
        <v>1000</v>
      </c>
      <c r="BD285" s="15"/>
      <c r="BE285" s="15">
        <f t="shared" si="1361"/>
        <v>1000</v>
      </c>
      <c r="BG285" s="15"/>
      <c r="BH285" s="15">
        <f t="shared" si="1362"/>
        <v>1000</v>
      </c>
      <c r="BJ285" s="15">
        <v>1000</v>
      </c>
      <c r="BK285" s="235">
        <f t="shared" ref="BK285:BK286" si="1415">BJ285/BH285</f>
        <v>1</v>
      </c>
      <c r="BM285" s="15">
        <v>1000</v>
      </c>
      <c r="BN285" s="235">
        <f t="shared" ref="BN285:BN306" si="1416">BM285/BJ285</f>
        <v>1</v>
      </c>
      <c r="BO285" s="235">
        <f t="shared" ref="BO285:BO306" si="1417">BM285/BH285</f>
        <v>1</v>
      </c>
      <c r="BQ285" s="15"/>
      <c r="BR285" s="15">
        <f t="shared" si="1366"/>
        <v>1000</v>
      </c>
      <c r="BT285" s="15"/>
      <c r="BU285" s="15">
        <f t="shared" si="1367"/>
        <v>1000</v>
      </c>
      <c r="BW285" s="15"/>
      <c r="BX285" s="15">
        <f t="shared" si="1368"/>
        <v>1000</v>
      </c>
      <c r="BZ285" s="15"/>
      <c r="CA285" s="15">
        <f t="shared" si="1369"/>
        <v>1000</v>
      </c>
      <c r="CC285" s="15"/>
      <c r="CD285" s="15">
        <f t="shared" si="1370"/>
        <v>1000</v>
      </c>
      <c r="CF285" s="15"/>
      <c r="CG285" s="15">
        <f t="shared" si="1371"/>
        <v>1000</v>
      </c>
      <c r="CI285" s="15"/>
      <c r="CJ285" s="15">
        <f t="shared" si="1372"/>
        <v>1000</v>
      </c>
      <c r="CM285" s="15">
        <f t="shared" si="1373"/>
        <v>1000</v>
      </c>
      <c r="CP285" s="15">
        <f t="shared" si="1374"/>
        <v>1000</v>
      </c>
      <c r="CS285" s="15">
        <f t="shared" si="1375"/>
        <v>1000</v>
      </c>
      <c r="CU285" s="227">
        <v>-1000</v>
      </c>
      <c r="CV285" s="15">
        <f t="shared" si="1376"/>
        <v>0</v>
      </c>
      <c r="CX285" s="227"/>
      <c r="CY285" s="15">
        <f t="shared" si="1377"/>
        <v>0</v>
      </c>
      <c r="DA285" s="15">
        <v>0</v>
      </c>
      <c r="DC285" s="15">
        <f>1500+12*550</f>
        <v>8100</v>
      </c>
      <c r="DE285" s="15"/>
      <c r="DF285" s="15">
        <f t="shared" si="1378"/>
        <v>8100</v>
      </c>
      <c r="DH285" s="15"/>
      <c r="DI285" s="15">
        <f t="shared" si="1379"/>
        <v>8100</v>
      </c>
      <c r="DK285" s="15"/>
      <c r="DL285" s="15">
        <f t="shared" si="1380"/>
        <v>8100</v>
      </c>
      <c r="DN285" s="15"/>
      <c r="DO285" s="15">
        <f t="shared" si="1381"/>
        <v>8100</v>
      </c>
      <c r="DQ285" s="15"/>
      <c r="DR285" s="15">
        <f t="shared" si="1382"/>
        <v>8100</v>
      </c>
      <c r="DT285" s="15"/>
      <c r="DU285" s="15">
        <f t="shared" si="1383"/>
        <v>8100</v>
      </c>
      <c r="DW285" s="15"/>
      <c r="DX285" s="15">
        <f t="shared" si="1384"/>
        <v>8100</v>
      </c>
      <c r="DZ285" s="15"/>
      <c r="EA285" s="15">
        <f t="shared" si="1385"/>
        <v>8100</v>
      </c>
      <c r="EC285" s="227">
        <v>-6600</v>
      </c>
      <c r="ED285" s="15">
        <f>EA285+EC285</f>
        <v>1500</v>
      </c>
      <c r="EF285" s="15"/>
      <c r="EG285" s="15">
        <f>ED285+EF285</f>
        <v>1500</v>
      </c>
      <c r="EI285" s="15">
        <v>1490</v>
      </c>
      <c r="EK285" s="15">
        <v>5200</v>
      </c>
      <c r="EM285" s="15"/>
      <c r="EN285" s="15">
        <f t="shared" si="1388"/>
        <v>5200</v>
      </c>
      <c r="EP285" s="15"/>
      <c r="EQ285" s="15">
        <f t="shared" si="1389"/>
        <v>5200</v>
      </c>
      <c r="ES285" s="15"/>
      <c r="ET285" s="15">
        <f t="shared" si="1390"/>
        <v>5200</v>
      </c>
      <c r="EW285" s="15">
        <f t="shared" si="1391"/>
        <v>5200</v>
      </c>
      <c r="EZ285" s="15">
        <f t="shared" si="1392"/>
        <v>5200</v>
      </c>
      <c r="FC285" s="15">
        <f t="shared" si="1393"/>
        <v>5200</v>
      </c>
      <c r="FF285" s="15">
        <f t="shared" si="1394"/>
        <v>5200</v>
      </c>
      <c r="FI285" s="15">
        <f t="shared" si="1395"/>
        <v>5200</v>
      </c>
      <c r="FL285" s="15">
        <f t="shared" si="1396"/>
        <v>5200</v>
      </c>
      <c r="FO285" s="15">
        <f t="shared" si="1397"/>
        <v>5200</v>
      </c>
      <c r="FR285" s="15">
        <v>5200</v>
      </c>
      <c r="FT285" s="15">
        <v>5150</v>
      </c>
      <c r="FV285" s="15">
        <v>5500</v>
      </c>
      <c r="FW285" s="235">
        <f t="shared" si="1350"/>
        <v>1.0679611650485437</v>
      </c>
      <c r="FZ285" s="15">
        <f t="shared" si="1398"/>
        <v>5500</v>
      </c>
      <c r="GB285" s="15"/>
      <c r="GC285" s="15">
        <f t="shared" si="1399"/>
        <v>5500</v>
      </c>
      <c r="GE285" s="15"/>
      <c r="GF285" s="15">
        <f t="shared" si="1400"/>
        <v>5500</v>
      </c>
      <c r="GH285" s="15"/>
      <c r="GI285" s="15">
        <f t="shared" si="1401"/>
        <v>5500</v>
      </c>
      <c r="GK285" s="15"/>
      <c r="GL285" s="15">
        <f t="shared" si="1402"/>
        <v>5500</v>
      </c>
      <c r="GN285" s="15"/>
      <c r="GO285" s="15">
        <f t="shared" si="1403"/>
        <v>5500</v>
      </c>
      <c r="GQ285" s="15"/>
      <c r="GR285" s="15">
        <f t="shared" si="1404"/>
        <v>5500</v>
      </c>
      <c r="GT285" s="15"/>
      <c r="GU285" s="15">
        <f t="shared" si="1405"/>
        <v>5500</v>
      </c>
      <c r="GW285" s="15"/>
      <c r="GX285" s="15">
        <f t="shared" si="1406"/>
        <v>5500</v>
      </c>
      <c r="GZ285" s="15"/>
      <c r="HA285" s="189">
        <f t="shared" si="1407"/>
        <v>5500</v>
      </c>
      <c r="HC285" s="189">
        <v>0</v>
      </c>
      <c r="HF285" s="235" t="e">
        <f t="shared" si="1351"/>
        <v>#DIV/0!</v>
      </c>
    </row>
    <row r="286" spans="1:214" outlineLevel="1">
      <c r="A286" s="1" t="s">
        <v>76</v>
      </c>
      <c r="B286" s="1" t="s">
        <v>225</v>
      </c>
      <c r="C286" s="4" t="s">
        <v>226</v>
      </c>
      <c r="D286" s="43">
        <v>1000</v>
      </c>
      <c r="E286" s="34">
        <v>0</v>
      </c>
      <c r="F286" s="43">
        <v>1000</v>
      </c>
      <c r="G286" s="34">
        <v>0</v>
      </c>
      <c r="H286" s="46">
        <v>0</v>
      </c>
      <c r="I286" s="36">
        <v>0</v>
      </c>
      <c r="J286" s="14"/>
      <c r="L286" s="118">
        <v>500</v>
      </c>
      <c r="M286" s="17">
        <f t="shared" si="1352"/>
        <v>-0.5</v>
      </c>
      <c r="N286" s="17" t="e">
        <f t="shared" si="1348"/>
        <v>#DIV/0!</v>
      </c>
      <c r="Q286" s="118">
        <v>500</v>
      </c>
      <c r="R286" s="15">
        <v>0</v>
      </c>
      <c r="S286" s="118">
        <v>500</v>
      </c>
      <c r="T286" s="15">
        <f t="shared" si="1353"/>
        <v>0</v>
      </c>
      <c r="U286" s="16">
        <f t="shared" si="1354"/>
        <v>0</v>
      </c>
      <c r="Y286" s="118">
        <v>500</v>
      </c>
      <c r="AA286" s="118">
        <v>0</v>
      </c>
      <c r="AB286" s="185">
        <f t="shared" si="1355"/>
        <v>-500</v>
      </c>
      <c r="AC286" s="187">
        <f t="shared" si="1356"/>
        <v>-500</v>
      </c>
      <c r="AD286" s="187"/>
      <c r="AE286" s="118">
        <v>0</v>
      </c>
      <c r="AF286" s="182"/>
      <c r="AH286" s="15">
        <v>0</v>
      </c>
      <c r="AK286" s="118">
        <v>500</v>
      </c>
      <c r="AR286" s="15"/>
      <c r="AS286" s="15">
        <f t="shared" si="1357"/>
        <v>500</v>
      </c>
      <c r="AV286" s="15">
        <f t="shared" si="1358"/>
        <v>500</v>
      </c>
      <c r="AX286" s="15"/>
      <c r="AY286" s="15">
        <f t="shared" si="1359"/>
        <v>500</v>
      </c>
      <c r="BB286" s="15">
        <f t="shared" si="1360"/>
        <v>500</v>
      </c>
      <c r="BD286" s="15"/>
      <c r="BE286" s="15">
        <f t="shared" si="1361"/>
        <v>500</v>
      </c>
      <c r="BG286" s="15"/>
      <c r="BH286" s="15">
        <f t="shared" si="1362"/>
        <v>500</v>
      </c>
      <c r="BJ286" s="15">
        <v>0</v>
      </c>
      <c r="BK286" s="235">
        <f t="shared" si="1415"/>
        <v>0</v>
      </c>
      <c r="BM286" s="15">
        <v>500</v>
      </c>
      <c r="BN286" s="235" t="e">
        <f t="shared" si="1416"/>
        <v>#DIV/0!</v>
      </c>
      <c r="BO286" s="235">
        <f t="shared" si="1417"/>
        <v>1</v>
      </c>
      <c r="BQ286" s="15"/>
      <c r="BR286" s="15">
        <f t="shared" ref="BR286:BR299" si="1418">BM286+BQ286</f>
        <v>500</v>
      </c>
      <c r="BT286" s="15"/>
      <c r="BU286" s="15">
        <f t="shared" si="1367"/>
        <v>500</v>
      </c>
      <c r="BW286" s="15"/>
      <c r="BX286" s="15">
        <f t="shared" si="1368"/>
        <v>500</v>
      </c>
      <c r="BZ286" s="15"/>
      <c r="CA286" s="15">
        <f t="shared" si="1369"/>
        <v>500</v>
      </c>
      <c r="CC286" s="15"/>
      <c r="CD286" s="15">
        <f t="shared" si="1370"/>
        <v>500</v>
      </c>
      <c r="CF286" s="15"/>
      <c r="CG286" s="15">
        <f t="shared" si="1371"/>
        <v>500</v>
      </c>
      <c r="CI286" s="15"/>
      <c r="CJ286" s="15">
        <f t="shared" si="1372"/>
        <v>500</v>
      </c>
      <c r="CM286" s="15">
        <f t="shared" si="1373"/>
        <v>500</v>
      </c>
      <c r="CO286" s="15">
        <v>-500</v>
      </c>
      <c r="CP286" s="15">
        <f t="shared" si="1374"/>
        <v>0</v>
      </c>
      <c r="CS286" s="15">
        <f t="shared" si="1375"/>
        <v>0</v>
      </c>
      <c r="CV286" s="15">
        <f t="shared" si="1376"/>
        <v>0</v>
      </c>
      <c r="CY286" s="15">
        <f t="shared" si="1377"/>
        <v>0</v>
      </c>
      <c r="DA286" s="15">
        <v>0</v>
      </c>
      <c r="DC286" s="15">
        <v>300</v>
      </c>
      <c r="DE286" s="15"/>
      <c r="DF286" s="15">
        <f t="shared" si="1378"/>
        <v>300</v>
      </c>
      <c r="DH286" s="15"/>
      <c r="DI286" s="15">
        <f t="shared" si="1379"/>
        <v>300</v>
      </c>
      <c r="DK286" s="15"/>
      <c r="DL286" s="15">
        <f t="shared" si="1380"/>
        <v>300</v>
      </c>
      <c r="DN286" s="15"/>
      <c r="DO286" s="15">
        <f t="shared" si="1381"/>
        <v>300</v>
      </c>
      <c r="DQ286" s="15"/>
      <c r="DR286" s="15">
        <f t="shared" si="1382"/>
        <v>300</v>
      </c>
      <c r="DT286" s="15"/>
      <c r="DU286" s="15">
        <f t="shared" si="1383"/>
        <v>300</v>
      </c>
      <c r="DW286" s="15"/>
      <c r="DX286" s="15">
        <f t="shared" si="1384"/>
        <v>300</v>
      </c>
      <c r="DZ286" s="15"/>
      <c r="EA286" s="15">
        <f t="shared" si="1385"/>
        <v>300</v>
      </c>
      <c r="EC286" s="227">
        <v>-300</v>
      </c>
      <c r="ED286" s="15">
        <f t="shared" si="1386"/>
        <v>0</v>
      </c>
      <c r="EF286" s="15"/>
      <c r="EG286" s="15">
        <f t="shared" ref="EG286:EG309" si="1419">ED286+EF286</f>
        <v>0</v>
      </c>
      <c r="EI286" s="15">
        <v>0</v>
      </c>
      <c r="EK286" s="15">
        <v>500</v>
      </c>
      <c r="EM286" s="15"/>
      <c r="EN286" s="15">
        <f t="shared" si="1388"/>
        <v>500</v>
      </c>
      <c r="EP286" s="15"/>
      <c r="EQ286" s="15">
        <f t="shared" si="1389"/>
        <v>500</v>
      </c>
      <c r="ES286" s="15"/>
      <c r="ET286" s="15">
        <f t="shared" si="1390"/>
        <v>500</v>
      </c>
      <c r="EW286" s="15">
        <f t="shared" si="1391"/>
        <v>500</v>
      </c>
      <c r="EZ286" s="15">
        <f t="shared" si="1392"/>
        <v>500</v>
      </c>
      <c r="FC286" s="15">
        <f t="shared" si="1393"/>
        <v>500</v>
      </c>
      <c r="FF286" s="15">
        <f t="shared" si="1394"/>
        <v>500</v>
      </c>
      <c r="FI286" s="15">
        <f t="shared" si="1395"/>
        <v>500</v>
      </c>
      <c r="FL286" s="15">
        <f t="shared" si="1396"/>
        <v>500</v>
      </c>
      <c r="FO286" s="15">
        <f t="shared" si="1397"/>
        <v>500</v>
      </c>
      <c r="FR286" s="15">
        <v>500</v>
      </c>
      <c r="FT286" s="15">
        <v>0</v>
      </c>
      <c r="FV286" s="15">
        <v>500</v>
      </c>
      <c r="FW286" s="235" t="e">
        <f t="shared" si="1350"/>
        <v>#DIV/0!</v>
      </c>
      <c r="FZ286" s="15">
        <f t="shared" si="1398"/>
        <v>500</v>
      </c>
      <c r="GB286" s="15"/>
      <c r="GC286" s="15">
        <f t="shared" si="1399"/>
        <v>500</v>
      </c>
      <c r="GE286" s="15"/>
      <c r="GF286" s="15">
        <f t="shared" si="1400"/>
        <v>500</v>
      </c>
      <c r="GH286" s="15"/>
      <c r="GI286" s="15">
        <f t="shared" si="1401"/>
        <v>500</v>
      </c>
      <c r="GK286" s="15"/>
      <c r="GL286" s="15">
        <f t="shared" si="1402"/>
        <v>500</v>
      </c>
      <c r="GN286" s="15"/>
      <c r="GO286" s="15">
        <f t="shared" si="1403"/>
        <v>500</v>
      </c>
      <c r="GQ286" s="15"/>
      <c r="GR286" s="15">
        <f t="shared" si="1404"/>
        <v>500</v>
      </c>
      <c r="GT286" s="15"/>
      <c r="GU286" s="15">
        <f t="shared" si="1405"/>
        <v>500</v>
      </c>
      <c r="GW286" s="15"/>
      <c r="GX286" s="15">
        <f t="shared" si="1406"/>
        <v>500</v>
      </c>
      <c r="GZ286" s="15"/>
      <c r="HA286" s="189">
        <f t="shared" si="1407"/>
        <v>500</v>
      </c>
      <c r="HC286" s="189">
        <v>0</v>
      </c>
      <c r="HF286" s="235" t="e">
        <f t="shared" si="1351"/>
        <v>#DIV/0!</v>
      </c>
    </row>
    <row r="287" spans="1:214" outlineLevel="1">
      <c r="A287" s="1" t="s">
        <v>76</v>
      </c>
      <c r="B287" s="1" t="s">
        <v>144</v>
      </c>
      <c r="C287" s="4" t="s">
        <v>145</v>
      </c>
      <c r="D287" s="43">
        <v>0</v>
      </c>
      <c r="E287" s="34">
        <v>0</v>
      </c>
      <c r="F287" s="43">
        <v>444</v>
      </c>
      <c r="G287" s="34">
        <v>100</v>
      </c>
      <c r="H287" s="46">
        <v>444</v>
      </c>
      <c r="I287" s="36">
        <v>444</v>
      </c>
      <c r="J287" s="14"/>
      <c r="L287" s="118">
        <v>0</v>
      </c>
      <c r="M287" s="17">
        <f t="shared" si="1352"/>
        <v>-1</v>
      </c>
      <c r="N287" s="17">
        <f t="shared" si="1348"/>
        <v>-1</v>
      </c>
      <c r="Q287" s="118">
        <v>0</v>
      </c>
      <c r="Y287" s="118"/>
      <c r="AB287" s="185">
        <f t="shared" si="1355"/>
        <v>0</v>
      </c>
      <c r="AC287" s="187">
        <f t="shared" si="1356"/>
        <v>0</v>
      </c>
      <c r="AD287" s="187"/>
      <c r="AE287" s="118">
        <v>300</v>
      </c>
      <c r="AF287" s="182">
        <f>AE287-AA287</f>
        <v>300</v>
      </c>
      <c r="AH287" s="15">
        <v>297</v>
      </c>
      <c r="AI287" s="17">
        <f t="shared" ref="AI287:AI304" si="1420">AH287/AE287</f>
        <v>0.99</v>
      </c>
      <c r="AK287" s="118">
        <v>0</v>
      </c>
      <c r="AR287" s="15"/>
      <c r="AS287" s="15">
        <f t="shared" si="1357"/>
        <v>0</v>
      </c>
      <c r="AV287" s="15">
        <f t="shared" si="1358"/>
        <v>0</v>
      </c>
      <c r="AX287" s="15"/>
      <c r="AY287" s="15">
        <f t="shared" si="1359"/>
        <v>0</v>
      </c>
      <c r="BB287" s="15">
        <f t="shared" si="1360"/>
        <v>0</v>
      </c>
      <c r="BD287" s="15"/>
      <c r="BE287" s="15">
        <f t="shared" si="1361"/>
        <v>0</v>
      </c>
      <c r="BG287" s="15"/>
      <c r="BH287" s="15">
        <f t="shared" si="1362"/>
        <v>0</v>
      </c>
      <c r="BJ287" s="15">
        <v>0</v>
      </c>
      <c r="BM287" s="15">
        <v>0</v>
      </c>
      <c r="BN287" s="235" t="e">
        <f t="shared" si="1416"/>
        <v>#DIV/0!</v>
      </c>
      <c r="BO287" s="235" t="e">
        <f t="shared" si="1417"/>
        <v>#DIV/0!</v>
      </c>
      <c r="BQ287" s="15"/>
      <c r="BR287" s="15">
        <f t="shared" si="1418"/>
        <v>0</v>
      </c>
      <c r="BT287" s="15"/>
      <c r="BU287" s="15">
        <f t="shared" si="1367"/>
        <v>0</v>
      </c>
      <c r="BW287" s="15"/>
      <c r="BX287" s="15">
        <f t="shared" si="1368"/>
        <v>0</v>
      </c>
      <c r="BZ287" s="15"/>
      <c r="CA287" s="15">
        <f t="shared" si="1369"/>
        <v>0</v>
      </c>
      <c r="CC287" s="15"/>
      <c r="CD287" s="15">
        <f t="shared" si="1370"/>
        <v>0</v>
      </c>
      <c r="CF287" s="15"/>
      <c r="CG287" s="15">
        <f t="shared" si="1371"/>
        <v>0</v>
      </c>
      <c r="CI287" s="15"/>
      <c r="CJ287" s="15">
        <f t="shared" si="1372"/>
        <v>0</v>
      </c>
      <c r="CM287" s="15">
        <f t="shared" si="1373"/>
        <v>0</v>
      </c>
      <c r="CP287" s="15">
        <f t="shared" si="1374"/>
        <v>0</v>
      </c>
      <c r="CS287" s="15">
        <f t="shared" si="1375"/>
        <v>0</v>
      </c>
      <c r="CV287" s="15">
        <f t="shared" si="1376"/>
        <v>0</v>
      </c>
      <c r="CY287" s="15">
        <f t="shared" si="1377"/>
        <v>0</v>
      </c>
      <c r="DA287" s="15">
        <v>0</v>
      </c>
      <c r="DE287" s="15"/>
      <c r="DF287" s="15">
        <f t="shared" si="1378"/>
        <v>0</v>
      </c>
      <c r="DH287" s="15"/>
      <c r="DI287" s="15">
        <f t="shared" si="1379"/>
        <v>0</v>
      </c>
      <c r="DK287" s="15"/>
      <c r="DL287" s="15">
        <f t="shared" si="1380"/>
        <v>0</v>
      </c>
      <c r="DN287" s="15"/>
      <c r="DO287" s="15">
        <f t="shared" si="1381"/>
        <v>0</v>
      </c>
      <c r="DQ287" s="15"/>
      <c r="DR287" s="15">
        <f t="shared" si="1382"/>
        <v>0</v>
      </c>
      <c r="DT287" s="15"/>
      <c r="DU287" s="15">
        <f t="shared" si="1383"/>
        <v>0</v>
      </c>
      <c r="DW287" s="15"/>
      <c r="DX287" s="15">
        <f t="shared" si="1384"/>
        <v>0</v>
      </c>
      <c r="DZ287" s="15"/>
      <c r="EA287" s="15">
        <f t="shared" si="1385"/>
        <v>0</v>
      </c>
      <c r="EC287" s="15"/>
      <c r="ED287" s="15">
        <f t="shared" si="1386"/>
        <v>0</v>
      </c>
      <c r="EF287" s="15"/>
      <c r="EG287" s="15">
        <f t="shared" si="1419"/>
        <v>0</v>
      </c>
      <c r="EI287" s="15">
        <v>0</v>
      </c>
      <c r="EK287" s="15"/>
      <c r="EM287" s="15"/>
      <c r="EN287" s="15">
        <f t="shared" si="1388"/>
        <v>0</v>
      </c>
      <c r="EP287" s="15"/>
      <c r="EQ287" s="15">
        <f t="shared" si="1389"/>
        <v>0</v>
      </c>
      <c r="ES287" s="15"/>
      <c r="ET287" s="15">
        <f t="shared" si="1390"/>
        <v>0</v>
      </c>
      <c r="EW287" s="15">
        <f t="shared" si="1391"/>
        <v>0</v>
      </c>
      <c r="EZ287" s="15">
        <f t="shared" si="1392"/>
        <v>0</v>
      </c>
      <c r="FC287" s="15">
        <f t="shared" si="1393"/>
        <v>0</v>
      </c>
      <c r="FF287" s="15">
        <f t="shared" si="1394"/>
        <v>0</v>
      </c>
      <c r="FI287" s="15">
        <f t="shared" si="1395"/>
        <v>0</v>
      </c>
      <c r="FL287" s="15">
        <f t="shared" si="1396"/>
        <v>0</v>
      </c>
      <c r="FO287" s="15">
        <f t="shared" si="1397"/>
        <v>0</v>
      </c>
      <c r="FR287" s="15">
        <v>0</v>
      </c>
      <c r="FT287" s="15">
        <v>0</v>
      </c>
      <c r="FV287" s="15">
        <v>0</v>
      </c>
      <c r="FW287" s="235" t="e">
        <f t="shared" si="1350"/>
        <v>#DIV/0!</v>
      </c>
      <c r="FZ287" s="15">
        <f t="shared" si="1398"/>
        <v>0</v>
      </c>
      <c r="GB287" s="15"/>
      <c r="GC287" s="15">
        <f t="shared" si="1399"/>
        <v>0</v>
      </c>
      <c r="GE287" s="15"/>
      <c r="GF287" s="15">
        <f t="shared" si="1400"/>
        <v>0</v>
      </c>
      <c r="GH287" s="15"/>
      <c r="GI287" s="15">
        <f t="shared" si="1401"/>
        <v>0</v>
      </c>
      <c r="GK287" s="15"/>
      <c r="GL287" s="15">
        <f t="shared" si="1402"/>
        <v>0</v>
      </c>
      <c r="GN287" s="15"/>
      <c r="GO287" s="15">
        <f t="shared" si="1403"/>
        <v>0</v>
      </c>
      <c r="GQ287" s="15"/>
      <c r="GR287" s="15">
        <f t="shared" si="1404"/>
        <v>0</v>
      </c>
      <c r="GT287" s="15"/>
      <c r="GU287" s="15">
        <f t="shared" si="1405"/>
        <v>0</v>
      </c>
      <c r="GW287" s="15"/>
      <c r="GX287" s="15">
        <f t="shared" si="1406"/>
        <v>0</v>
      </c>
      <c r="GZ287" s="15"/>
      <c r="HA287" s="189">
        <f t="shared" si="1407"/>
        <v>0</v>
      </c>
      <c r="HF287" s="235" t="e">
        <f t="shared" si="1351"/>
        <v>#DIV/0!</v>
      </c>
    </row>
    <row r="288" spans="1:214" outlineLevel="1">
      <c r="A288" s="1" t="s">
        <v>76</v>
      </c>
      <c r="B288" s="1" t="s">
        <v>113</v>
      </c>
      <c r="C288" s="4" t="s">
        <v>114</v>
      </c>
      <c r="D288" s="43">
        <v>46000</v>
      </c>
      <c r="E288" s="34">
        <v>21.24</v>
      </c>
      <c r="F288" s="43">
        <v>46000</v>
      </c>
      <c r="G288" s="34">
        <v>21.24</v>
      </c>
      <c r="H288" s="46">
        <v>9769</v>
      </c>
      <c r="I288" s="36">
        <v>9769</v>
      </c>
      <c r="J288" s="14"/>
      <c r="L288" s="118">
        <v>15000</v>
      </c>
      <c r="M288" s="17">
        <f t="shared" si="1352"/>
        <v>-0.67391304347826086</v>
      </c>
      <c r="N288" s="17">
        <f t="shared" si="1348"/>
        <v>0.53546934179547545</v>
      </c>
      <c r="Q288" s="118">
        <v>15000</v>
      </c>
      <c r="R288" s="15">
        <v>0</v>
      </c>
      <c r="S288" s="118">
        <v>15000</v>
      </c>
      <c r="T288" s="15">
        <f>S288-Q288</f>
        <v>0</v>
      </c>
      <c r="U288" s="16">
        <f>S288/Q288-1</f>
        <v>0</v>
      </c>
      <c r="Y288" s="118">
        <v>15000</v>
      </c>
      <c r="AA288" s="118">
        <v>15000</v>
      </c>
      <c r="AB288" s="185">
        <f t="shared" si="1355"/>
        <v>0</v>
      </c>
      <c r="AC288" s="187">
        <f t="shared" si="1356"/>
        <v>0</v>
      </c>
      <c r="AD288" s="187"/>
      <c r="AE288" s="118">
        <v>15000</v>
      </c>
      <c r="AF288" s="182"/>
      <c r="AH288" s="15">
        <v>14459</v>
      </c>
      <c r="AI288" s="17">
        <f t="shared" si="1420"/>
        <v>0.96393333333333331</v>
      </c>
      <c r="AK288" s="118">
        <v>15000</v>
      </c>
      <c r="AR288" s="15"/>
      <c r="AS288" s="15">
        <f t="shared" si="1357"/>
        <v>15000</v>
      </c>
      <c r="AV288" s="15">
        <f t="shared" si="1358"/>
        <v>15000</v>
      </c>
      <c r="AX288" s="15"/>
      <c r="AY288" s="15">
        <f t="shared" si="1359"/>
        <v>15000</v>
      </c>
      <c r="BB288" s="15">
        <f t="shared" si="1360"/>
        <v>15000</v>
      </c>
      <c r="BD288" s="15">
        <v>2000</v>
      </c>
      <c r="BE288" s="15">
        <f t="shared" si="1361"/>
        <v>17000</v>
      </c>
      <c r="BG288" s="15"/>
      <c r="BH288" s="15">
        <f t="shared" si="1362"/>
        <v>17000</v>
      </c>
      <c r="BJ288" s="15">
        <v>14157</v>
      </c>
      <c r="BK288" s="235">
        <f t="shared" ref="BK288:BK306" si="1421">BJ288/BH288</f>
        <v>0.83276470588235296</v>
      </c>
      <c r="BM288" s="15">
        <v>15000</v>
      </c>
      <c r="BN288" s="235">
        <f t="shared" si="1416"/>
        <v>1.0595465140919686</v>
      </c>
      <c r="BO288" s="235">
        <f t="shared" si="1417"/>
        <v>0.88235294117647056</v>
      </c>
      <c r="BQ288" s="15"/>
      <c r="BR288" s="15">
        <f t="shared" si="1418"/>
        <v>15000</v>
      </c>
      <c r="BT288" s="15"/>
      <c r="BU288" s="15">
        <f t="shared" si="1367"/>
        <v>15000</v>
      </c>
      <c r="BW288" s="15"/>
      <c r="BX288" s="15">
        <f t="shared" si="1368"/>
        <v>15000</v>
      </c>
      <c r="BZ288" s="15"/>
      <c r="CA288" s="15">
        <f t="shared" si="1369"/>
        <v>15000</v>
      </c>
      <c r="CC288" s="15"/>
      <c r="CD288" s="15">
        <f t="shared" si="1370"/>
        <v>15000</v>
      </c>
      <c r="CF288" s="15"/>
      <c r="CG288" s="15">
        <f t="shared" si="1371"/>
        <v>15000</v>
      </c>
      <c r="CI288" s="15"/>
      <c r="CJ288" s="15">
        <f t="shared" si="1372"/>
        <v>15000</v>
      </c>
      <c r="CM288" s="15">
        <f t="shared" si="1373"/>
        <v>15000</v>
      </c>
      <c r="CO288" s="15">
        <v>-10000</v>
      </c>
      <c r="CP288" s="15">
        <f t="shared" si="1374"/>
        <v>5000</v>
      </c>
      <c r="CS288" s="15">
        <f t="shared" si="1375"/>
        <v>5000</v>
      </c>
      <c r="CU288" s="227">
        <v>-5000</v>
      </c>
      <c r="CV288" s="15">
        <f t="shared" si="1376"/>
        <v>0</v>
      </c>
      <c r="CX288" s="227"/>
      <c r="CY288" s="15">
        <f t="shared" si="1377"/>
        <v>0</v>
      </c>
      <c r="DA288" s="15">
        <v>0</v>
      </c>
      <c r="DC288" s="15">
        <v>40000</v>
      </c>
      <c r="DE288" s="15"/>
      <c r="DF288" s="15">
        <f t="shared" si="1378"/>
        <v>40000</v>
      </c>
      <c r="DH288" s="15"/>
      <c r="DI288" s="15">
        <f t="shared" si="1379"/>
        <v>40000</v>
      </c>
      <c r="DK288" s="15"/>
      <c r="DL288" s="15">
        <f t="shared" si="1380"/>
        <v>40000</v>
      </c>
      <c r="DN288" s="227">
        <v>8000</v>
      </c>
      <c r="DO288" s="15">
        <f t="shared" si="1381"/>
        <v>48000</v>
      </c>
      <c r="DQ288" s="227">
        <v>5000</v>
      </c>
      <c r="DR288" s="15">
        <f t="shared" si="1382"/>
        <v>53000</v>
      </c>
      <c r="DT288" s="15"/>
      <c r="DU288" s="15">
        <f t="shared" si="1383"/>
        <v>53000</v>
      </c>
      <c r="DW288" s="15"/>
      <c r="DX288" s="15">
        <f t="shared" si="1384"/>
        <v>53000</v>
      </c>
      <c r="DZ288" s="15"/>
      <c r="EA288" s="15">
        <f t="shared" si="1385"/>
        <v>53000</v>
      </c>
      <c r="EC288" s="15"/>
      <c r="ED288" s="15">
        <f t="shared" si="1386"/>
        <v>53000</v>
      </c>
      <c r="EF288" s="15"/>
      <c r="EG288" s="15">
        <f t="shared" si="1419"/>
        <v>53000</v>
      </c>
      <c r="EI288" s="15">
        <v>47602</v>
      </c>
      <c r="EK288" s="15">
        <v>0</v>
      </c>
      <c r="EM288" s="15"/>
      <c r="EN288" s="15">
        <f t="shared" si="1388"/>
        <v>0</v>
      </c>
      <c r="EP288" s="15"/>
      <c r="EQ288" s="15">
        <f t="shared" si="1389"/>
        <v>0</v>
      </c>
      <c r="ES288" s="15"/>
      <c r="ET288" s="15">
        <f t="shared" si="1390"/>
        <v>0</v>
      </c>
      <c r="EW288" s="15">
        <f t="shared" si="1391"/>
        <v>0</v>
      </c>
      <c r="EZ288" s="15">
        <f t="shared" si="1392"/>
        <v>0</v>
      </c>
      <c r="FC288" s="15">
        <f t="shared" si="1393"/>
        <v>0</v>
      </c>
      <c r="FF288" s="15">
        <f t="shared" si="1394"/>
        <v>0</v>
      </c>
      <c r="FI288" s="15">
        <f t="shared" si="1395"/>
        <v>0</v>
      </c>
      <c r="FL288" s="15">
        <f t="shared" si="1396"/>
        <v>0</v>
      </c>
      <c r="FO288" s="15">
        <f t="shared" si="1397"/>
        <v>0</v>
      </c>
      <c r="FR288" s="15">
        <v>0</v>
      </c>
      <c r="FV288" s="15">
        <v>0</v>
      </c>
      <c r="FW288" s="235" t="e">
        <f t="shared" si="1350"/>
        <v>#DIV/0!</v>
      </c>
      <c r="FZ288" s="15">
        <f t="shared" si="1398"/>
        <v>0</v>
      </c>
      <c r="GB288" s="15"/>
      <c r="GC288" s="15">
        <f t="shared" si="1399"/>
        <v>0</v>
      </c>
      <c r="GE288" s="15"/>
      <c r="GF288" s="15">
        <f t="shared" si="1400"/>
        <v>0</v>
      </c>
      <c r="GH288" s="15"/>
      <c r="GI288" s="15">
        <f t="shared" si="1401"/>
        <v>0</v>
      </c>
      <c r="GK288" s="15"/>
      <c r="GL288" s="15">
        <f t="shared" si="1402"/>
        <v>0</v>
      </c>
      <c r="GN288" s="15"/>
      <c r="GO288" s="15">
        <f t="shared" si="1403"/>
        <v>0</v>
      </c>
      <c r="GQ288" s="15"/>
      <c r="GR288" s="15">
        <f t="shared" si="1404"/>
        <v>0</v>
      </c>
      <c r="GT288" s="227">
        <v>12100</v>
      </c>
      <c r="GU288" s="15">
        <f t="shared" si="1405"/>
        <v>12100</v>
      </c>
      <c r="GW288" s="15"/>
      <c r="GX288" s="15">
        <f t="shared" si="1406"/>
        <v>12100</v>
      </c>
      <c r="GZ288" s="15"/>
      <c r="HA288" s="189">
        <f t="shared" si="1407"/>
        <v>12100</v>
      </c>
      <c r="HC288" s="189">
        <v>12089</v>
      </c>
      <c r="HF288" s="235">
        <f t="shared" si="1351"/>
        <v>0</v>
      </c>
    </row>
    <row r="289" spans="1:214" outlineLevel="1">
      <c r="A289" s="1" t="s">
        <v>76</v>
      </c>
      <c r="B289" s="1" t="s">
        <v>146</v>
      </c>
      <c r="C289" s="4" t="s">
        <v>147</v>
      </c>
      <c r="D289" s="43">
        <v>20000</v>
      </c>
      <c r="E289" s="34">
        <v>241.04</v>
      </c>
      <c r="F289" s="43">
        <v>52093.34</v>
      </c>
      <c r="G289" s="34">
        <v>92.54</v>
      </c>
      <c r="H289" s="46">
        <v>48207.63</v>
      </c>
      <c r="I289" s="36">
        <v>49000</v>
      </c>
      <c r="J289" s="14"/>
      <c r="L289" s="118">
        <v>35000</v>
      </c>
      <c r="M289" s="17">
        <f t="shared" si="1352"/>
        <v>-0.32812908521511575</v>
      </c>
      <c r="N289" s="17">
        <f t="shared" si="1348"/>
        <v>-0.2857142857142857</v>
      </c>
      <c r="Q289" s="118">
        <v>35000</v>
      </c>
      <c r="R289" s="15">
        <v>13359</v>
      </c>
      <c r="S289" s="118">
        <v>30000</v>
      </c>
      <c r="T289" s="15">
        <f>S289-Q289</f>
        <v>-5000</v>
      </c>
      <c r="U289" s="16">
        <f>S289/Q289-1</f>
        <v>-0.1428571428571429</v>
      </c>
      <c r="Y289" s="118">
        <v>30000</v>
      </c>
      <c r="AA289" s="118">
        <v>25000</v>
      </c>
      <c r="AB289" s="185">
        <f t="shared" si="1355"/>
        <v>-5000</v>
      </c>
      <c r="AC289" s="187">
        <f t="shared" si="1356"/>
        <v>-5000</v>
      </c>
      <c r="AD289" s="187"/>
      <c r="AE289" s="118">
        <v>25000</v>
      </c>
      <c r="AF289" s="182"/>
      <c r="AH289" s="15">
        <v>20543.259999999998</v>
      </c>
      <c r="AI289" s="17">
        <f t="shared" si="1420"/>
        <v>0.82173039999999997</v>
      </c>
      <c r="AK289" s="118">
        <v>22000</v>
      </c>
      <c r="AR289" s="15"/>
      <c r="AS289" s="15">
        <f t="shared" si="1357"/>
        <v>22000</v>
      </c>
      <c r="AV289" s="15">
        <f t="shared" si="1358"/>
        <v>22000</v>
      </c>
      <c r="AX289" s="15"/>
      <c r="AY289" s="15">
        <f t="shared" si="1359"/>
        <v>22000</v>
      </c>
      <c r="BB289" s="15">
        <f t="shared" si="1360"/>
        <v>22000</v>
      </c>
      <c r="BD289" s="15">
        <v>-2000</v>
      </c>
      <c r="BE289" s="15">
        <f t="shared" si="1361"/>
        <v>20000</v>
      </c>
      <c r="BG289" s="15"/>
      <c r="BH289" s="15">
        <f t="shared" si="1362"/>
        <v>20000</v>
      </c>
      <c r="BJ289" s="15">
        <v>17838</v>
      </c>
      <c r="BK289" s="235">
        <f t="shared" si="1421"/>
        <v>0.89190000000000003</v>
      </c>
      <c r="BM289" s="15">
        <v>25000</v>
      </c>
      <c r="BN289" s="235">
        <f t="shared" si="1416"/>
        <v>1.4015024105841463</v>
      </c>
      <c r="BO289" s="235">
        <f t="shared" si="1417"/>
        <v>1.25</v>
      </c>
      <c r="BQ289" s="15"/>
      <c r="BR289" s="15">
        <f t="shared" si="1418"/>
        <v>25000</v>
      </c>
      <c r="BT289" s="15"/>
      <c r="BU289" s="15">
        <f t="shared" si="1367"/>
        <v>25000</v>
      </c>
      <c r="BW289" s="15">
        <v>20000</v>
      </c>
      <c r="BX289" s="15">
        <f t="shared" si="1368"/>
        <v>45000</v>
      </c>
      <c r="BZ289" s="15"/>
      <c r="CA289" s="15">
        <f t="shared" si="1369"/>
        <v>45000</v>
      </c>
      <c r="CC289" s="15"/>
      <c r="CD289" s="15">
        <f t="shared" si="1370"/>
        <v>45000</v>
      </c>
      <c r="CF289" s="15"/>
      <c r="CG289" s="15">
        <f t="shared" si="1371"/>
        <v>45000</v>
      </c>
      <c r="CI289" s="15"/>
      <c r="CJ289" s="15">
        <f t="shared" si="1372"/>
        <v>45000</v>
      </c>
      <c r="CM289" s="15">
        <f t="shared" si="1373"/>
        <v>45000</v>
      </c>
      <c r="CP289" s="15">
        <f t="shared" si="1374"/>
        <v>45000</v>
      </c>
      <c r="CS289" s="15">
        <f t="shared" si="1375"/>
        <v>45000</v>
      </c>
      <c r="CU289" s="227">
        <v>1000</v>
      </c>
      <c r="CV289" s="15">
        <f t="shared" si="1376"/>
        <v>46000</v>
      </c>
      <c r="CX289" s="227"/>
      <c r="CY289" s="15">
        <f t="shared" si="1377"/>
        <v>46000</v>
      </c>
      <c r="DA289" s="15">
        <v>45281.37</v>
      </c>
      <c r="DC289" s="15">
        <v>30000</v>
      </c>
      <c r="DE289" s="15"/>
      <c r="DF289" s="15">
        <f t="shared" si="1378"/>
        <v>30000</v>
      </c>
      <c r="DH289" s="15"/>
      <c r="DI289" s="15">
        <f t="shared" si="1379"/>
        <v>30000</v>
      </c>
      <c r="DK289" s="15"/>
      <c r="DL289" s="15">
        <f t="shared" si="1380"/>
        <v>30000</v>
      </c>
      <c r="DN289" s="15"/>
      <c r="DO289" s="15">
        <f t="shared" si="1381"/>
        <v>30000</v>
      </c>
      <c r="DQ289" s="15"/>
      <c r="DR289" s="15">
        <f t="shared" si="1382"/>
        <v>30000</v>
      </c>
      <c r="DT289" s="15"/>
      <c r="DU289" s="15">
        <f t="shared" si="1383"/>
        <v>30000</v>
      </c>
      <c r="DW289" s="15"/>
      <c r="DX289" s="15">
        <f t="shared" si="1384"/>
        <v>30000</v>
      </c>
      <c r="DZ289" s="15"/>
      <c r="EA289" s="15">
        <f t="shared" si="1385"/>
        <v>30000</v>
      </c>
      <c r="EC289" s="227">
        <v>5000</v>
      </c>
      <c r="ED289" s="15">
        <f t="shared" si="1386"/>
        <v>35000</v>
      </c>
      <c r="EF289" s="227">
        <v>3500</v>
      </c>
      <c r="EG289" s="15">
        <f t="shared" si="1419"/>
        <v>38500</v>
      </c>
      <c r="EI289" s="15">
        <v>38318.589999999997</v>
      </c>
      <c r="EK289" s="15">
        <v>24000</v>
      </c>
      <c r="EM289" s="15"/>
      <c r="EN289" s="15">
        <f t="shared" si="1388"/>
        <v>24000</v>
      </c>
      <c r="EP289" s="15"/>
      <c r="EQ289" s="15">
        <f t="shared" si="1389"/>
        <v>24000</v>
      </c>
      <c r="ES289" s="15"/>
      <c r="ET289" s="15">
        <f t="shared" si="1390"/>
        <v>24000</v>
      </c>
      <c r="EW289" s="15">
        <f t="shared" si="1391"/>
        <v>24000</v>
      </c>
      <c r="EZ289" s="15">
        <f t="shared" si="1392"/>
        <v>24000</v>
      </c>
      <c r="FB289" s="227">
        <v>10000</v>
      </c>
      <c r="FC289" s="15">
        <f t="shared" si="1393"/>
        <v>34000</v>
      </c>
      <c r="FF289" s="15">
        <f t="shared" si="1394"/>
        <v>34000</v>
      </c>
      <c r="FI289" s="15">
        <f t="shared" si="1395"/>
        <v>34000</v>
      </c>
      <c r="FL289" s="15">
        <f t="shared" si="1396"/>
        <v>34000</v>
      </c>
      <c r="FO289" s="15">
        <f t="shared" si="1397"/>
        <v>34000</v>
      </c>
      <c r="FQ289" s="227">
        <v>6820</v>
      </c>
      <c r="FR289" s="15">
        <v>40820</v>
      </c>
      <c r="FT289" s="15">
        <v>40818.46</v>
      </c>
      <c r="FV289" s="15">
        <v>41000</v>
      </c>
      <c r="FW289" s="235">
        <f t="shared" si="1350"/>
        <v>1.0044474975293041</v>
      </c>
      <c r="FZ289" s="15">
        <f t="shared" si="1398"/>
        <v>41000</v>
      </c>
      <c r="GB289" s="227">
        <v>-3000</v>
      </c>
      <c r="GC289" s="15">
        <f t="shared" si="1399"/>
        <v>38000</v>
      </c>
      <c r="GE289" s="15"/>
      <c r="GF289" s="15">
        <f t="shared" si="1400"/>
        <v>38000</v>
      </c>
      <c r="GH289" s="15"/>
      <c r="GI289" s="15">
        <f t="shared" si="1401"/>
        <v>38000</v>
      </c>
      <c r="GK289" s="15"/>
      <c r="GL289" s="15">
        <f t="shared" si="1402"/>
        <v>38000</v>
      </c>
      <c r="GN289" s="15"/>
      <c r="GO289" s="15">
        <f t="shared" si="1403"/>
        <v>38000</v>
      </c>
      <c r="GQ289" s="15"/>
      <c r="GR289" s="15">
        <f t="shared" si="1404"/>
        <v>38000</v>
      </c>
      <c r="GT289" s="15"/>
      <c r="GU289" s="15">
        <f t="shared" si="1405"/>
        <v>38000</v>
      </c>
      <c r="GW289" s="15"/>
      <c r="GX289" s="15">
        <f t="shared" si="1406"/>
        <v>38000</v>
      </c>
      <c r="GZ289" s="15"/>
      <c r="HA289" s="189">
        <f t="shared" si="1407"/>
        <v>38000</v>
      </c>
      <c r="HC289" s="189">
        <v>30121.98</v>
      </c>
      <c r="HE289" s="15">
        <v>50000</v>
      </c>
      <c r="HF289" s="235">
        <f t="shared" si="1351"/>
        <v>1.6599174423460874</v>
      </c>
    </row>
    <row r="290" spans="1:214" ht="15.75" customHeight="1" outlineLevel="1">
      <c r="A290" s="1" t="s">
        <v>76</v>
      </c>
      <c r="B290" s="1" t="s">
        <v>632</v>
      </c>
      <c r="C290" s="4" t="s">
        <v>633</v>
      </c>
      <c r="D290" s="43"/>
      <c r="E290" s="34"/>
      <c r="F290" s="43"/>
      <c r="G290" s="34"/>
      <c r="H290" s="46"/>
      <c r="I290" s="36"/>
      <c r="J290" s="14"/>
      <c r="M290" s="17"/>
      <c r="N290" s="17"/>
      <c r="U290" s="16"/>
      <c r="Y290" s="118"/>
      <c r="AB290" s="185"/>
      <c r="AC290" s="187"/>
      <c r="AD290" s="187"/>
      <c r="AF290" s="182"/>
      <c r="AH290" s="15"/>
      <c r="AI290" s="17"/>
      <c r="AR290" s="15"/>
      <c r="AS290" s="15"/>
      <c r="AV290" s="15"/>
      <c r="AX290" s="15"/>
      <c r="AY290" s="15"/>
      <c r="BB290" s="15"/>
      <c r="BD290" s="15"/>
      <c r="BE290" s="15"/>
      <c r="BG290" s="15"/>
      <c r="BH290" s="15"/>
      <c r="BK290" s="235"/>
      <c r="BM290" s="15"/>
      <c r="BN290" s="235"/>
      <c r="BO290" s="235"/>
      <c r="BQ290" s="15"/>
      <c r="BR290" s="15"/>
      <c r="BT290" s="15"/>
      <c r="BU290" s="15"/>
      <c r="BW290" s="15"/>
      <c r="BX290" s="15"/>
      <c r="BZ290" s="15"/>
      <c r="CA290" s="15"/>
      <c r="CC290" s="15"/>
      <c r="CD290" s="15"/>
      <c r="CF290" s="15"/>
      <c r="CG290" s="15"/>
      <c r="CI290" s="15"/>
      <c r="CJ290" s="15"/>
      <c r="CM290" s="15"/>
      <c r="CP290" s="15"/>
      <c r="CS290" s="15"/>
      <c r="CU290" s="227"/>
      <c r="CV290" s="15"/>
      <c r="CX290" s="227"/>
      <c r="CY290" s="15"/>
      <c r="DE290" s="15"/>
      <c r="DF290" s="15"/>
      <c r="DH290" s="15"/>
      <c r="DI290" s="15"/>
      <c r="DK290" s="15"/>
      <c r="DL290" s="15"/>
      <c r="DN290" s="15"/>
      <c r="DO290" s="15"/>
      <c r="DQ290" s="15"/>
      <c r="DR290" s="15"/>
      <c r="DT290" s="15"/>
      <c r="DU290" s="15"/>
      <c r="DW290" s="15"/>
      <c r="DX290" s="15"/>
      <c r="DZ290" s="15"/>
      <c r="EA290" s="15"/>
      <c r="EC290" s="227">
        <v>10</v>
      </c>
      <c r="ED290" s="15">
        <f t="shared" si="1386"/>
        <v>10</v>
      </c>
      <c r="EF290" s="15"/>
      <c r="EG290" s="15">
        <f t="shared" si="1419"/>
        <v>10</v>
      </c>
      <c r="EI290" s="15">
        <v>1.2</v>
      </c>
      <c r="EK290" s="15">
        <v>0</v>
      </c>
      <c r="EM290" s="15"/>
      <c r="EN290" s="15"/>
      <c r="EP290" s="15"/>
      <c r="EQ290" s="15"/>
      <c r="ES290" s="15"/>
      <c r="ET290" s="15"/>
      <c r="EW290" s="15"/>
      <c r="EZ290" s="15"/>
      <c r="FC290" s="15"/>
      <c r="FF290" s="15"/>
      <c r="FI290" s="15"/>
      <c r="FL290" s="15"/>
      <c r="FO290" s="15"/>
      <c r="FR290" s="15"/>
      <c r="FW290" s="235" t="e">
        <f t="shared" si="1350"/>
        <v>#DIV/0!</v>
      </c>
      <c r="FZ290" s="15"/>
      <c r="GB290" s="15"/>
      <c r="GC290" s="15"/>
      <c r="GE290" s="15"/>
      <c r="GF290" s="15"/>
      <c r="GH290" s="15"/>
      <c r="GI290" s="15"/>
      <c r="GK290" s="15"/>
      <c r="GL290" s="15"/>
      <c r="GN290" s="15"/>
      <c r="GO290" s="15"/>
      <c r="GQ290" s="15"/>
      <c r="GR290" s="15"/>
      <c r="GT290" s="15"/>
      <c r="GU290" s="15"/>
      <c r="GW290" s="15"/>
      <c r="GX290" s="15"/>
      <c r="GZ290" s="15"/>
      <c r="HF290" s="235" t="e">
        <f t="shared" si="1351"/>
        <v>#DIV/0!</v>
      </c>
    </row>
    <row r="291" spans="1:214" outlineLevel="1">
      <c r="A291" s="1" t="s">
        <v>76</v>
      </c>
      <c r="B291" s="1" t="s">
        <v>157</v>
      </c>
      <c r="C291" s="4" t="s">
        <v>158</v>
      </c>
      <c r="D291" s="43">
        <v>2500</v>
      </c>
      <c r="E291" s="34">
        <v>132.44</v>
      </c>
      <c r="F291" s="43">
        <v>5500</v>
      </c>
      <c r="G291" s="34">
        <v>60.2</v>
      </c>
      <c r="H291" s="46">
        <v>3311</v>
      </c>
      <c r="I291" s="36">
        <v>3500</v>
      </c>
      <c r="J291" s="14"/>
      <c r="K291" t="s">
        <v>332</v>
      </c>
      <c r="L291" s="118">
        <v>3000</v>
      </c>
      <c r="M291" s="17">
        <f t="shared" si="1352"/>
        <v>-0.45454545454545459</v>
      </c>
      <c r="N291" s="17">
        <f t="shared" si="1348"/>
        <v>-0.1428571428571429</v>
      </c>
      <c r="Q291" s="118">
        <v>3000</v>
      </c>
      <c r="R291" s="15">
        <v>1312</v>
      </c>
      <c r="S291" s="118">
        <v>3000</v>
      </c>
      <c r="T291" s="15">
        <f>S291-Q291</f>
        <v>0</v>
      </c>
      <c r="U291" s="16">
        <f>S291/Q291-1</f>
        <v>0</v>
      </c>
      <c r="Y291" s="118">
        <v>3000</v>
      </c>
      <c r="AA291" s="118">
        <v>3000</v>
      </c>
      <c r="AB291" s="185">
        <f t="shared" si="1355"/>
        <v>0</v>
      </c>
      <c r="AC291" s="187">
        <f t="shared" si="1356"/>
        <v>0</v>
      </c>
      <c r="AD291" s="187"/>
      <c r="AE291" s="118">
        <v>4200</v>
      </c>
      <c r="AF291" s="182">
        <f>AE291-AA291</f>
        <v>1200</v>
      </c>
      <c r="AH291" s="15">
        <v>4132.3999999999996</v>
      </c>
      <c r="AI291" s="17">
        <f t="shared" si="1420"/>
        <v>0.98390476190476184</v>
      </c>
      <c r="AK291" s="118">
        <v>4400</v>
      </c>
      <c r="AR291" s="15"/>
      <c r="AS291" s="15">
        <f t="shared" si="1357"/>
        <v>4400</v>
      </c>
      <c r="AV291" s="15">
        <f t="shared" si="1358"/>
        <v>4400</v>
      </c>
      <c r="AX291" s="15"/>
      <c r="AY291" s="15">
        <f t="shared" si="1359"/>
        <v>4400</v>
      </c>
      <c r="BB291" s="15">
        <f t="shared" si="1360"/>
        <v>4400</v>
      </c>
      <c r="BD291" s="15">
        <v>-2000</v>
      </c>
      <c r="BE291" s="15">
        <f t="shared" si="1361"/>
        <v>2400</v>
      </c>
      <c r="BG291" s="15">
        <v>3500</v>
      </c>
      <c r="BH291" s="15">
        <f t="shared" si="1362"/>
        <v>5900</v>
      </c>
      <c r="BJ291" s="15">
        <v>5416</v>
      </c>
      <c r="BK291" s="235">
        <f t="shared" si="1421"/>
        <v>0.91796610169491522</v>
      </c>
      <c r="BM291" s="15">
        <f>(780+70)*2</f>
        <v>1700</v>
      </c>
      <c r="BN291" s="235">
        <f t="shared" si="1416"/>
        <v>0.31388478581979323</v>
      </c>
      <c r="BO291" s="235">
        <f t="shared" si="1417"/>
        <v>0.28813559322033899</v>
      </c>
      <c r="BQ291" s="15"/>
      <c r="BR291" s="15">
        <f t="shared" si="1418"/>
        <v>1700</v>
      </c>
      <c r="BT291" s="15"/>
      <c r="BU291" s="15">
        <f t="shared" si="1367"/>
        <v>1700</v>
      </c>
      <c r="BW291" s="15"/>
      <c r="BX291" s="15">
        <f t="shared" si="1368"/>
        <v>1700</v>
      </c>
      <c r="BZ291" s="15"/>
      <c r="CA291" s="15">
        <f t="shared" si="1369"/>
        <v>1700</v>
      </c>
      <c r="CC291" s="15"/>
      <c r="CD291" s="15">
        <f t="shared" si="1370"/>
        <v>1700</v>
      </c>
      <c r="CF291" s="15"/>
      <c r="CG291" s="15">
        <f t="shared" si="1371"/>
        <v>1700</v>
      </c>
      <c r="CI291" s="15"/>
      <c r="CJ291" s="15">
        <f t="shared" si="1372"/>
        <v>1700</v>
      </c>
      <c r="CM291" s="15">
        <f t="shared" si="1373"/>
        <v>1700</v>
      </c>
      <c r="CP291" s="15">
        <f t="shared" si="1374"/>
        <v>1700</v>
      </c>
      <c r="CS291" s="15">
        <f t="shared" si="1375"/>
        <v>1700</v>
      </c>
      <c r="CU291" s="227">
        <v>1800</v>
      </c>
      <c r="CV291" s="15">
        <f t="shared" si="1376"/>
        <v>3500</v>
      </c>
      <c r="CX291" s="227"/>
      <c r="CY291" s="15">
        <f t="shared" si="1377"/>
        <v>3500</v>
      </c>
      <c r="DA291" s="15">
        <v>3419</v>
      </c>
      <c r="DC291" s="15">
        <v>10000</v>
      </c>
      <c r="DE291" s="15"/>
      <c r="DF291" s="15">
        <f t="shared" si="1378"/>
        <v>10000</v>
      </c>
      <c r="DH291" s="15"/>
      <c r="DI291" s="15">
        <f t="shared" si="1379"/>
        <v>10000</v>
      </c>
      <c r="DK291" s="15"/>
      <c r="DL291" s="15">
        <f t="shared" si="1380"/>
        <v>10000</v>
      </c>
      <c r="DN291" s="15"/>
      <c r="DO291" s="15">
        <f t="shared" si="1381"/>
        <v>10000</v>
      </c>
      <c r="DQ291" s="15"/>
      <c r="DR291" s="15">
        <f t="shared" si="1382"/>
        <v>10000</v>
      </c>
      <c r="DT291" s="15"/>
      <c r="DU291" s="15">
        <f t="shared" si="1383"/>
        <v>10000</v>
      </c>
      <c r="DW291" s="15"/>
      <c r="DX291" s="15">
        <f t="shared" si="1384"/>
        <v>10000</v>
      </c>
      <c r="DZ291" s="15"/>
      <c r="EA291" s="15">
        <f t="shared" si="1385"/>
        <v>10000</v>
      </c>
      <c r="EC291" s="15"/>
      <c r="ED291" s="15">
        <f t="shared" si="1386"/>
        <v>10000</v>
      </c>
      <c r="EF291" s="227">
        <v>1400</v>
      </c>
      <c r="EG291" s="15">
        <f t="shared" si="1419"/>
        <v>11400</v>
      </c>
      <c r="EI291" s="15">
        <v>11305.68</v>
      </c>
      <c r="EK291" s="15">
        <v>10000</v>
      </c>
      <c r="EM291" s="15"/>
      <c r="EN291" s="15">
        <f t="shared" ref="EN291:EN309" si="1422">EK291+EM291</f>
        <v>10000</v>
      </c>
      <c r="EP291" s="15"/>
      <c r="EQ291" s="15">
        <f t="shared" ref="EQ291:EQ309" si="1423">EN291+EP291</f>
        <v>10000</v>
      </c>
      <c r="ES291" s="15"/>
      <c r="ET291" s="15">
        <f t="shared" ref="ET291:ET309" si="1424">EQ291+ES291</f>
        <v>10000</v>
      </c>
      <c r="EW291" s="15">
        <f t="shared" ref="EW291:EW309" si="1425">ET291+EV291</f>
        <v>10000</v>
      </c>
      <c r="EZ291" s="15">
        <f t="shared" ref="EZ291:EZ309" si="1426">EW291+EY291</f>
        <v>10000</v>
      </c>
      <c r="FC291" s="15">
        <f t="shared" ref="FC291:FC309" si="1427">EZ291+FB291</f>
        <v>10000</v>
      </c>
      <c r="FF291" s="15">
        <f t="shared" ref="FF291:FF309" si="1428">FC291+FE291</f>
        <v>10000</v>
      </c>
      <c r="FI291" s="15">
        <f t="shared" ref="FI291:FI309" si="1429">FF291+FH291</f>
        <v>10000</v>
      </c>
      <c r="FK291" s="227">
        <v>2000</v>
      </c>
      <c r="FL291" s="15">
        <f t="shared" ref="FL291:FL309" si="1430">FI291+FK291</f>
        <v>12000</v>
      </c>
      <c r="FO291" s="15">
        <f t="shared" ref="FO291:FO309" si="1431">FL291+FN291</f>
        <v>12000</v>
      </c>
      <c r="FQ291" s="227">
        <v>3750</v>
      </c>
      <c r="FR291" s="15">
        <v>15750</v>
      </c>
      <c r="FT291" s="15">
        <v>15748.6</v>
      </c>
      <c r="FV291" s="15">
        <v>16000</v>
      </c>
      <c r="FW291" s="235">
        <f t="shared" si="1350"/>
        <v>1.0159633237240135</v>
      </c>
      <c r="FZ291" s="15">
        <f t="shared" ref="FZ291:FZ309" si="1432">FV291+FY291</f>
        <v>16000</v>
      </c>
      <c r="GB291" s="15"/>
      <c r="GC291" s="15">
        <f t="shared" ref="GC291:GC309" si="1433">FZ291+GB291</f>
        <v>16000</v>
      </c>
      <c r="GE291" s="15"/>
      <c r="GF291" s="15">
        <f t="shared" ref="GF291:GF309" si="1434">GC291+GE291</f>
        <v>16000</v>
      </c>
      <c r="GH291" s="15"/>
      <c r="GI291" s="15">
        <f t="shared" ref="GI291:GI309" si="1435">GF291+GH291</f>
        <v>16000</v>
      </c>
      <c r="GK291" s="15"/>
      <c r="GL291" s="15">
        <f t="shared" ref="GL291:GL309" si="1436">GI291+GK291</f>
        <v>16000</v>
      </c>
      <c r="GN291" s="15"/>
      <c r="GO291" s="15">
        <f t="shared" ref="GO291:GO309" si="1437">GL291+GN291</f>
        <v>16000</v>
      </c>
      <c r="GQ291" s="227">
        <v>-10000</v>
      </c>
      <c r="GR291" s="15">
        <f t="shared" ref="GR291:GR309" si="1438">GO291+GQ291</f>
        <v>6000</v>
      </c>
      <c r="GT291" s="15"/>
      <c r="GU291" s="15">
        <f t="shared" ref="GU291:GU309" si="1439">GR291+GT291</f>
        <v>6000</v>
      </c>
      <c r="GW291" s="227">
        <v>-2800</v>
      </c>
      <c r="GX291" s="15">
        <f t="shared" ref="GX291:GX309" si="1440">GU291+GW291</f>
        <v>3200</v>
      </c>
      <c r="GZ291" s="227">
        <v>10800</v>
      </c>
      <c r="HA291" s="189">
        <f t="shared" ref="HA291:HA309" si="1441">GX291+GZ291</f>
        <v>14000</v>
      </c>
      <c r="HC291" s="189">
        <v>13981.4</v>
      </c>
      <c r="HE291" s="15">
        <v>5000</v>
      </c>
      <c r="HF291" s="235">
        <f t="shared" si="1351"/>
        <v>0.35761797817099861</v>
      </c>
    </row>
    <row r="292" spans="1:214" outlineLevel="1">
      <c r="A292" s="1" t="s">
        <v>76</v>
      </c>
      <c r="B292" s="1" t="s">
        <v>159</v>
      </c>
      <c r="C292" s="4" t="s">
        <v>160</v>
      </c>
      <c r="D292" s="43">
        <v>65000</v>
      </c>
      <c r="E292" s="34">
        <v>55.31</v>
      </c>
      <c r="F292" s="43">
        <v>65000</v>
      </c>
      <c r="G292" s="34">
        <v>55.31</v>
      </c>
      <c r="H292" s="46">
        <v>35951</v>
      </c>
      <c r="I292" s="36">
        <v>40000</v>
      </c>
      <c r="J292" s="14"/>
      <c r="K292" t="s">
        <v>332</v>
      </c>
      <c r="L292" s="118">
        <v>43000</v>
      </c>
      <c r="M292" s="17">
        <f t="shared" si="1352"/>
        <v>-0.33846153846153848</v>
      </c>
      <c r="N292" s="17">
        <f t="shared" si="1348"/>
        <v>7.4999999999999956E-2</v>
      </c>
      <c r="Q292" s="118">
        <v>43000</v>
      </c>
      <c r="R292" s="15">
        <v>15996</v>
      </c>
      <c r="S292" s="118">
        <v>43000</v>
      </c>
      <c r="T292" s="15">
        <f>S292-Q292</f>
        <v>0</v>
      </c>
      <c r="U292" s="16">
        <f>S292/Q292-1</f>
        <v>0</v>
      </c>
      <c r="Y292" s="118">
        <v>43000</v>
      </c>
      <c r="AA292" s="118">
        <v>43000</v>
      </c>
      <c r="AB292" s="185">
        <f t="shared" si="1355"/>
        <v>0</v>
      </c>
      <c r="AC292" s="187">
        <f t="shared" si="1356"/>
        <v>0</v>
      </c>
      <c r="AD292" s="187"/>
      <c r="AE292" s="118">
        <v>44900</v>
      </c>
      <c r="AF292" s="182">
        <f>AE292-AA292</f>
        <v>1900</v>
      </c>
      <c r="AH292" s="15">
        <v>44885.7</v>
      </c>
      <c r="AI292" s="17">
        <f t="shared" si="1420"/>
        <v>0.99968151447661469</v>
      </c>
      <c r="AK292" s="118">
        <v>47000</v>
      </c>
      <c r="AR292" s="15"/>
      <c r="AS292" s="15">
        <f t="shared" si="1357"/>
        <v>47000</v>
      </c>
      <c r="AV292" s="15">
        <f t="shared" si="1358"/>
        <v>47000</v>
      </c>
      <c r="AX292" s="15"/>
      <c r="AY292" s="15">
        <f t="shared" si="1359"/>
        <v>47000</v>
      </c>
      <c r="BB292" s="15">
        <f t="shared" si="1360"/>
        <v>47000</v>
      </c>
      <c r="BD292" s="15">
        <v>-7000</v>
      </c>
      <c r="BE292" s="15">
        <f t="shared" si="1361"/>
        <v>40000</v>
      </c>
      <c r="BG292" s="15"/>
      <c r="BH292" s="15">
        <f t="shared" si="1362"/>
        <v>40000</v>
      </c>
      <c r="BJ292" s="15">
        <v>21649.96</v>
      </c>
      <c r="BK292" s="235">
        <f t="shared" si="1421"/>
        <v>0.54124899999999998</v>
      </c>
      <c r="BM292" s="196">
        <f>12*(7100+4150)</f>
        <v>135000</v>
      </c>
      <c r="BN292" s="235">
        <f t="shared" si="1416"/>
        <v>6.2355773405585975</v>
      </c>
      <c r="BO292" s="235">
        <f t="shared" si="1417"/>
        <v>3.375</v>
      </c>
      <c r="BQ292" s="15"/>
      <c r="BR292" s="15">
        <f t="shared" si="1418"/>
        <v>135000</v>
      </c>
      <c r="BT292" s="15"/>
      <c r="BU292" s="15">
        <f t="shared" si="1367"/>
        <v>135000</v>
      </c>
      <c r="BW292" s="15"/>
      <c r="BX292" s="15">
        <f t="shared" si="1368"/>
        <v>135000</v>
      </c>
      <c r="BZ292" s="15"/>
      <c r="CA292" s="15">
        <f t="shared" si="1369"/>
        <v>135000</v>
      </c>
      <c r="CC292" s="15"/>
      <c r="CD292" s="15">
        <f t="shared" si="1370"/>
        <v>135000</v>
      </c>
      <c r="CF292" s="15"/>
      <c r="CG292" s="15">
        <f t="shared" si="1371"/>
        <v>135000</v>
      </c>
      <c r="CI292" s="15"/>
      <c r="CJ292" s="15">
        <f t="shared" si="1372"/>
        <v>135000</v>
      </c>
      <c r="CM292" s="15">
        <f t="shared" si="1373"/>
        <v>135000</v>
      </c>
      <c r="CO292" s="15">
        <v>11000</v>
      </c>
      <c r="CP292" s="15">
        <f t="shared" si="1374"/>
        <v>146000</v>
      </c>
      <c r="CS292" s="15">
        <f t="shared" si="1375"/>
        <v>146000</v>
      </c>
      <c r="CU292" s="227">
        <v>17000</v>
      </c>
      <c r="CV292" s="15">
        <f t="shared" si="1376"/>
        <v>163000</v>
      </c>
      <c r="CX292" s="227"/>
      <c r="CY292" s="15">
        <f t="shared" si="1377"/>
        <v>163000</v>
      </c>
      <c r="DA292" s="15">
        <v>162809.23000000001</v>
      </c>
      <c r="DC292" s="15">
        <v>160000</v>
      </c>
      <c r="DE292" s="15"/>
      <c r="DF292" s="15">
        <f t="shared" si="1378"/>
        <v>160000</v>
      </c>
      <c r="DH292" s="15"/>
      <c r="DI292" s="15">
        <f t="shared" si="1379"/>
        <v>160000</v>
      </c>
      <c r="DK292" s="15"/>
      <c r="DL292" s="15">
        <f t="shared" si="1380"/>
        <v>160000</v>
      </c>
      <c r="DN292" s="15"/>
      <c r="DO292" s="15">
        <f t="shared" si="1381"/>
        <v>160000</v>
      </c>
      <c r="DQ292" s="227">
        <v>-43400</v>
      </c>
      <c r="DR292" s="15">
        <f t="shared" si="1382"/>
        <v>116600</v>
      </c>
      <c r="DT292" s="15"/>
      <c r="DU292" s="15">
        <f t="shared" si="1383"/>
        <v>116600</v>
      </c>
      <c r="DW292" s="15"/>
      <c r="DX292" s="15">
        <f t="shared" si="1384"/>
        <v>116600</v>
      </c>
      <c r="DZ292" s="227">
        <v>4000</v>
      </c>
      <c r="EA292" s="15">
        <f t="shared" si="1385"/>
        <v>120600</v>
      </c>
      <c r="EC292" s="227">
        <v>20000</v>
      </c>
      <c r="ED292" s="15">
        <f t="shared" si="1386"/>
        <v>140600</v>
      </c>
      <c r="EF292" s="227">
        <v>12800</v>
      </c>
      <c r="EG292" s="15">
        <f t="shared" si="1419"/>
        <v>153400</v>
      </c>
      <c r="EI292" s="15">
        <v>153343</v>
      </c>
      <c r="EK292" s="15">
        <v>160000</v>
      </c>
      <c r="EM292" s="15"/>
      <c r="EN292" s="15">
        <f t="shared" si="1422"/>
        <v>160000</v>
      </c>
      <c r="EP292" s="15"/>
      <c r="EQ292" s="15">
        <f t="shared" si="1423"/>
        <v>160000</v>
      </c>
      <c r="ES292" s="15"/>
      <c r="ET292" s="15">
        <f t="shared" si="1424"/>
        <v>160000</v>
      </c>
      <c r="EW292" s="15">
        <f t="shared" si="1425"/>
        <v>160000</v>
      </c>
      <c r="EZ292" s="15">
        <f t="shared" si="1426"/>
        <v>160000</v>
      </c>
      <c r="FB292" s="227">
        <v>-48000</v>
      </c>
      <c r="FC292" s="15">
        <f t="shared" si="1427"/>
        <v>112000</v>
      </c>
      <c r="FF292" s="15">
        <f t="shared" si="1428"/>
        <v>112000</v>
      </c>
      <c r="FI292" s="15">
        <f t="shared" si="1429"/>
        <v>112000</v>
      </c>
      <c r="FK292" s="227">
        <v>22000</v>
      </c>
      <c r="FL292" s="15">
        <f t="shared" si="1430"/>
        <v>134000</v>
      </c>
      <c r="FO292" s="15">
        <f t="shared" si="1431"/>
        <v>134000</v>
      </c>
      <c r="FR292" s="15">
        <v>134000</v>
      </c>
      <c r="FT292" s="15">
        <v>133920.24</v>
      </c>
      <c r="FV292" s="15">
        <v>135000</v>
      </c>
      <c r="FW292" s="235">
        <f t="shared" si="1350"/>
        <v>1.0080627095650367</v>
      </c>
      <c r="FZ292" s="15">
        <f t="shared" si="1432"/>
        <v>135000</v>
      </c>
      <c r="GB292" s="15"/>
      <c r="GC292" s="15">
        <f t="shared" si="1433"/>
        <v>135000</v>
      </c>
      <c r="GE292" s="15"/>
      <c r="GF292" s="15">
        <f t="shared" si="1434"/>
        <v>135000</v>
      </c>
      <c r="GH292" s="15"/>
      <c r="GI292" s="15">
        <f t="shared" si="1435"/>
        <v>135000</v>
      </c>
      <c r="GK292" s="15"/>
      <c r="GL292" s="15">
        <f t="shared" si="1436"/>
        <v>135000</v>
      </c>
      <c r="GN292" s="15"/>
      <c r="GO292" s="15">
        <f t="shared" si="1437"/>
        <v>135000</v>
      </c>
      <c r="GQ292" s="227">
        <v>-20000</v>
      </c>
      <c r="GR292" s="15">
        <f t="shared" si="1438"/>
        <v>115000</v>
      </c>
      <c r="GT292" s="15"/>
      <c r="GU292" s="15">
        <f t="shared" si="1439"/>
        <v>115000</v>
      </c>
      <c r="GW292" s="15"/>
      <c r="GX292" s="15">
        <f t="shared" si="1440"/>
        <v>115000</v>
      </c>
      <c r="GZ292" s="15"/>
      <c r="HA292" s="189">
        <f t="shared" si="1441"/>
        <v>115000</v>
      </c>
      <c r="HC292" s="189">
        <v>87168.24</v>
      </c>
      <c r="HE292" s="15">
        <v>90000</v>
      </c>
      <c r="HF292" s="235">
        <f t="shared" si="1351"/>
        <v>1.032486144035947</v>
      </c>
    </row>
    <row r="293" spans="1:214" outlineLevel="1">
      <c r="A293" s="1" t="s">
        <v>76</v>
      </c>
      <c r="B293" s="1" t="s">
        <v>161</v>
      </c>
      <c r="C293" s="4" t="s">
        <v>162</v>
      </c>
      <c r="D293" s="43">
        <v>15000</v>
      </c>
      <c r="E293" s="34">
        <v>143.76</v>
      </c>
      <c r="F293" s="43">
        <v>32000</v>
      </c>
      <c r="G293" s="34">
        <v>67.39</v>
      </c>
      <c r="H293" s="46">
        <v>21564.39</v>
      </c>
      <c r="I293" s="36">
        <v>25000</v>
      </c>
      <c r="J293" s="14"/>
      <c r="K293" t="s">
        <v>332</v>
      </c>
      <c r="L293" s="118">
        <v>32000</v>
      </c>
      <c r="M293" s="17">
        <f t="shared" si="1352"/>
        <v>0</v>
      </c>
      <c r="N293" s="17">
        <f t="shared" si="1348"/>
        <v>0.28000000000000003</v>
      </c>
      <c r="Q293" s="118">
        <v>32000</v>
      </c>
      <c r="R293" s="15">
        <v>14228</v>
      </c>
      <c r="S293" s="118">
        <v>32000</v>
      </c>
      <c r="T293" s="15">
        <f t="shared" ref="T293:T309" si="1442">S293-Q293</f>
        <v>0</v>
      </c>
      <c r="U293" s="16">
        <f t="shared" ref="U293:U309" si="1443">S293/Q293-1</f>
        <v>0</v>
      </c>
      <c r="Y293" s="118">
        <v>32000</v>
      </c>
      <c r="AA293" s="118">
        <v>32000</v>
      </c>
      <c r="AB293" s="185">
        <f t="shared" si="1355"/>
        <v>0</v>
      </c>
      <c r="AC293" s="187">
        <f t="shared" si="1356"/>
        <v>0</v>
      </c>
      <c r="AD293" s="187"/>
      <c r="AE293" s="118">
        <v>32000</v>
      </c>
      <c r="AF293" s="182"/>
      <c r="AH293" s="15">
        <v>26783.1</v>
      </c>
      <c r="AI293" s="17">
        <f t="shared" si="1420"/>
        <v>0.83697187499999992</v>
      </c>
      <c r="AK293" s="118">
        <v>28000</v>
      </c>
      <c r="AR293" s="15"/>
      <c r="AS293" s="15">
        <f t="shared" si="1357"/>
        <v>28000</v>
      </c>
      <c r="AV293" s="15">
        <f t="shared" si="1358"/>
        <v>28000</v>
      </c>
      <c r="AX293" s="15"/>
      <c r="AY293" s="15">
        <f t="shared" si="1359"/>
        <v>28000</v>
      </c>
      <c r="BB293" s="15">
        <f t="shared" si="1360"/>
        <v>28000</v>
      </c>
      <c r="BD293" s="15">
        <v>5000</v>
      </c>
      <c r="BE293" s="15">
        <f t="shared" si="1361"/>
        <v>33000</v>
      </c>
      <c r="BG293" s="15"/>
      <c r="BH293" s="15">
        <f t="shared" si="1362"/>
        <v>33000</v>
      </c>
      <c r="BJ293" s="15">
        <v>26028</v>
      </c>
      <c r="BK293" s="235">
        <f t="shared" si="1421"/>
        <v>0.78872727272727272</v>
      </c>
      <c r="BM293" s="196">
        <f>12*(2700+1050)</f>
        <v>45000</v>
      </c>
      <c r="BN293" s="235">
        <f t="shared" si="1416"/>
        <v>1.7289073305670817</v>
      </c>
      <c r="BO293" s="235">
        <f t="shared" si="1417"/>
        <v>1.3636363636363635</v>
      </c>
      <c r="BQ293" s="15"/>
      <c r="BR293" s="15">
        <f t="shared" si="1418"/>
        <v>45000</v>
      </c>
      <c r="BT293" s="15"/>
      <c r="BU293" s="15">
        <f t="shared" si="1367"/>
        <v>45000</v>
      </c>
      <c r="BW293" s="15"/>
      <c r="BX293" s="15">
        <f t="shared" si="1368"/>
        <v>45000</v>
      </c>
      <c r="BZ293" s="15"/>
      <c r="CA293" s="15">
        <f t="shared" si="1369"/>
        <v>45000</v>
      </c>
      <c r="CC293" s="15"/>
      <c r="CD293" s="15">
        <f t="shared" si="1370"/>
        <v>45000</v>
      </c>
      <c r="CF293" s="15"/>
      <c r="CG293" s="15">
        <f t="shared" si="1371"/>
        <v>45000</v>
      </c>
      <c r="CI293" s="15"/>
      <c r="CJ293" s="15">
        <f t="shared" si="1372"/>
        <v>45000</v>
      </c>
      <c r="CM293" s="15">
        <f t="shared" si="1373"/>
        <v>45000</v>
      </c>
      <c r="CP293" s="15">
        <f t="shared" si="1374"/>
        <v>45000</v>
      </c>
      <c r="CS293" s="15">
        <f t="shared" si="1375"/>
        <v>45000</v>
      </c>
      <c r="CV293" s="15">
        <f t="shared" si="1376"/>
        <v>45000</v>
      </c>
      <c r="CY293" s="15">
        <f t="shared" si="1377"/>
        <v>45000</v>
      </c>
      <c r="DA293" s="15">
        <v>44678.77</v>
      </c>
      <c r="DC293" s="15">
        <v>44000</v>
      </c>
      <c r="DE293" s="15"/>
      <c r="DF293" s="15">
        <f t="shared" si="1378"/>
        <v>44000</v>
      </c>
      <c r="DH293" s="15"/>
      <c r="DI293" s="15">
        <f t="shared" si="1379"/>
        <v>44000</v>
      </c>
      <c r="DK293" s="15"/>
      <c r="DL293" s="15">
        <f t="shared" si="1380"/>
        <v>44000</v>
      </c>
      <c r="DN293" s="15"/>
      <c r="DO293" s="15">
        <f t="shared" si="1381"/>
        <v>44000</v>
      </c>
      <c r="DQ293" s="15"/>
      <c r="DR293" s="15">
        <f t="shared" si="1382"/>
        <v>44000</v>
      </c>
      <c r="DT293" s="15"/>
      <c r="DU293" s="15">
        <f t="shared" si="1383"/>
        <v>44000</v>
      </c>
      <c r="DW293" s="15"/>
      <c r="DX293" s="15">
        <f t="shared" si="1384"/>
        <v>44000</v>
      </c>
      <c r="DZ293" s="15"/>
      <c r="EA293" s="15">
        <f t="shared" si="1385"/>
        <v>44000</v>
      </c>
      <c r="EC293" s="15"/>
      <c r="ED293" s="15">
        <f t="shared" si="1386"/>
        <v>44000</v>
      </c>
      <c r="EF293" s="227">
        <v>500</v>
      </c>
      <c r="EG293" s="15">
        <f t="shared" si="1419"/>
        <v>44500</v>
      </c>
      <c r="EI293" s="15">
        <v>44460.1</v>
      </c>
      <c r="EK293" s="15">
        <v>45000</v>
      </c>
      <c r="EM293" s="15"/>
      <c r="EN293" s="15">
        <f t="shared" si="1422"/>
        <v>45000</v>
      </c>
      <c r="EP293" s="15"/>
      <c r="EQ293" s="15">
        <f t="shared" si="1423"/>
        <v>45000</v>
      </c>
      <c r="ES293" s="15"/>
      <c r="ET293" s="15">
        <f t="shared" si="1424"/>
        <v>45000</v>
      </c>
      <c r="EW293" s="15">
        <f t="shared" si="1425"/>
        <v>45000</v>
      </c>
      <c r="EZ293" s="15">
        <f t="shared" si="1426"/>
        <v>45000</v>
      </c>
      <c r="FC293" s="15">
        <f t="shared" si="1427"/>
        <v>45000</v>
      </c>
      <c r="FF293" s="15">
        <f t="shared" si="1428"/>
        <v>45000</v>
      </c>
      <c r="FI293" s="15">
        <f t="shared" si="1429"/>
        <v>45000</v>
      </c>
      <c r="FK293" s="227">
        <v>-10000</v>
      </c>
      <c r="FL293" s="15">
        <f t="shared" si="1430"/>
        <v>35000</v>
      </c>
      <c r="FO293" s="15">
        <f t="shared" si="1431"/>
        <v>35000</v>
      </c>
      <c r="FR293" s="15">
        <v>35000</v>
      </c>
      <c r="FT293" s="15">
        <v>34495.089999999997</v>
      </c>
      <c r="FV293" s="15">
        <v>35000</v>
      </c>
      <c r="FW293" s="235">
        <f t="shared" si="1350"/>
        <v>1.0146371556067835</v>
      </c>
      <c r="FZ293" s="15">
        <f t="shared" si="1432"/>
        <v>35000</v>
      </c>
      <c r="GB293" s="227">
        <v>3000</v>
      </c>
      <c r="GC293" s="15">
        <f t="shared" si="1433"/>
        <v>38000</v>
      </c>
      <c r="GE293" s="227">
        <v>20000</v>
      </c>
      <c r="GF293" s="15">
        <f t="shared" si="1434"/>
        <v>58000</v>
      </c>
      <c r="GH293" s="15"/>
      <c r="GI293" s="15">
        <f t="shared" si="1435"/>
        <v>58000</v>
      </c>
      <c r="GK293" s="15"/>
      <c r="GL293" s="15">
        <f t="shared" si="1436"/>
        <v>58000</v>
      </c>
      <c r="GN293" s="15"/>
      <c r="GO293" s="15">
        <f t="shared" si="1437"/>
        <v>58000</v>
      </c>
      <c r="GQ293" s="227">
        <v>20000</v>
      </c>
      <c r="GR293" s="15">
        <f t="shared" si="1438"/>
        <v>78000</v>
      </c>
      <c r="GT293" s="15"/>
      <c r="GU293" s="15">
        <f t="shared" si="1439"/>
        <v>78000</v>
      </c>
      <c r="GW293" s="15"/>
      <c r="GX293" s="15">
        <f t="shared" si="1440"/>
        <v>78000</v>
      </c>
      <c r="GZ293" s="15"/>
      <c r="HA293" s="189">
        <f t="shared" si="1441"/>
        <v>78000</v>
      </c>
      <c r="HC293" s="189">
        <v>60108.49</v>
      </c>
      <c r="HE293" s="15">
        <v>50000</v>
      </c>
      <c r="HF293" s="235">
        <f t="shared" si="1351"/>
        <v>0.83182924741579767</v>
      </c>
    </row>
    <row r="294" spans="1:214" outlineLevel="1">
      <c r="A294" s="1" t="s">
        <v>76</v>
      </c>
      <c r="B294" s="1" t="s">
        <v>220</v>
      </c>
      <c r="C294" s="4" t="s">
        <v>221</v>
      </c>
      <c r="D294" s="43">
        <v>5000</v>
      </c>
      <c r="E294" s="34">
        <v>25.96</v>
      </c>
      <c r="F294" s="43">
        <v>5000</v>
      </c>
      <c r="G294" s="34">
        <v>25.96</v>
      </c>
      <c r="H294" s="46">
        <v>1298</v>
      </c>
      <c r="I294" s="36">
        <v>1600</v>
      </c>
      <c r="J294" s="14"/>
      <c r="K294" t="s">
        <v>332</v>
      </c>
      <c r="L294" s="118">
        <v>2000</v>
      </c>
      <c r="M294" s="17">
        <f t="shared" si="1352"/>
        <v>-0.6</v>
      </c>
      <c r="N294" s="17">
        <f t="shared" si="1348"/>
        <v>0.25</v>
      </c>
      <c r="Q294" s="118">
        <v>2000</v>
      </c>
      <c r="R294" s="15">
        <v>1301</v>
      </c>
      <c r="S294" s="118">
        <v>3000</v>
      </c>
      <c r="T294" s="15">
        <f t="shared" si="1442"/>
        <v>1000</v>
      </c>
      <c r="U294" s="16">
        <f t="shared" si="1443"/>
        <v>0.5</v>
      </c>
      <c r="Y294" s="118">
        <v>3000</v>
      </c>
      <c r="AA294" s="118">
        <v>3000</v>
      </c>
      <c r="AB294" s="185">
        <f t="shared" si="1355"/>
        <v>0</v>
      </c>
      <c r="AC294" s="187">
        <f t="shared" si="1356"/>
        <v>0</v>
      </c>
      <c r="AD294" s="187"/>
      <c r="AE294" s="118">
        <v>3700</v>
      </c>
      <c r="AF294" s="182">
        <f>AE294-AA294</f>
        <v>700</v>
      </c>
      <c r="AH294" s="15">
        <v>3686.8</v>
      </c>
      <c r="AI294" s="17">
        <f t="shared" si="1420"/>
        <v>0.99643243243243251</v>
      </c>
      <c r="AK294" s="118">
        <v>4000</v>
      </c>
      <c r="AR294" s="15"/>
      <c r="AS294" s="15">
        <f t="shared" si="1357"/>
        <v>4000</v>
      </c>
      <c r="AV294" s="15">
        <f t="shared" si="1358"/>
        <v>4000</v>
      </c>
      <c r="AX294" s="15"/>
      <c r="AY294" s="15">
        <f t="shared" si="1359"/>
        <v>4000</v>
      </c>
      <c r="BB294" s="15">
        <f t="shared" si="1360"/>
        <v>4000</v>
      </c>
      <c r="BD294" s="15">
        <v>-1800</v>
      </c>
      <c r="BE294" s="15">
        <f t="shared" si="1361"/>
        <v>2200</v>
      </c>
      <c r="BG294" s="15">
        <v>2000</v>
      </c>
      <c r="BH294" s="15">
        <f t="shared" si="1362"/>
        <v>4200</v>
      </c>
      <c r="BJ294" s="15">
        <v>3887.8</v>
      </c>
      <c r="BK294" s="235">
        <f t="shared" si="1421"/>
        <v>0.92566666666666675</v>
      </c>
      <c r="BM294" s="15">
        <v>4500</v>
      </c>
      <c r="BN294" s="235">
        <f t="shared" si="1416"/>
        <v>1.1574669478882658</v>
      </c>
      <c r="BO294" s="235">
        <f t="shared" si="1417"/>
        <v>1.0714285714285714</v>
      </c>
      <c r="BQ294" s="15"/>
      <c r="BR294" s="15">
        <f t="shared" si="1418"/>
        <v>4500</v>
      </c>
      <c r="BT294" s="15"/>
      <c r="BU294" s="15">
        <f t="shared" si="1367"/>
        <v>4500</v>
      </c>
      <c r="BW294" s="15"/>
      <c r="BX294" s="15">
        <f t="shared" si="1368"/>
        <v>4500</v>
      </c>
      <c r="BZ294" s="15"/>
      <c r="CA294" s="15">
        <f t="shared" si="1369"/>
        <v>4500</v>
      </c>
      <c r="CC294" s="15"/>
      <c r="CD294" s="15">
        <f t="shared" si="1370"/>
        <v>4500</v>
      </c>
      <c r="CF294" s="15"/>
      <c r="CG294" s="15">
        <f t="shared" si="1371"/>
        <v>4500</v>
      </c>
      <c r="CI294" s="15"/>
      <c r="CJ294" s="15">
        <f t="shared" si="1372"/>
        <v>4500</v>
      </c>
      <c r="CM294" s="15">
        <f t="shared" si="1373"/>
        <v>4500</v>
      </c>
      <c r="CP294" s="15">
        <f t="shared" si="1374"/>
        <v>4500</v>
      </c>
      <c r="CS294" s="15">
        <f t="shared" si="1375"/>
        <v>4500</v>
      </c>
      <c r="CV294" s="15">
        <f t="shared" si="1376"/>
        <v>4500</v>
      </c>
      <c r="CY294" s="15">
        <f t="shared" si="1377"/>
        <v>4500</v>
      </c>
      <c r="DA294" s="15">
        <v>4040.4</v>
      </c>
      <c r="DC294" s="15">
        <v>6000</v>
      </c>
      <c r="DE294" s="15"/>
      <c r="DF294" s="15">
        <f t="shared" si="1378"/>
        <v>6000</v>
      </c>
      <c r="DH294" s="15"/>
      <c r="DI294" s="15">
        <f t="shared" si="1379"/>
        <v>6000</v>
      </c>
      <c r="DK294" s="15"/>
      <c r="DL294" s="15">
        <f t="shared" si="1380"/>
        <v>6000</v>
      </c>
      <c r="DN294" s="15"/>
      <c r="DO294" s="15">
        <f t="shared" si="1381"/>
        <v>6000</v>
      </c>
      <c r="DQ294" s="15"/>
      <c r="DR294" s="15">
        <f t="shared" si="1382"/>
        <v>6000</v>
      </c>
      <c r="DT294" s="15"/>
      <c r="DU294" s="15">
        <f t="shared" si="1383"/>
        <v>6000</v>
      </c>
      <c r="DW294" s="15"/>
      <c r="DX294" s="15">
        <f t="shared" si="1384"/>
        <v>6000</v>
      </c>
      <c r="DZ294" s="15"/>
      <c r="EA294" s="15">
        <f t="shared" si="1385"/>
        <v>6000</v>
      </c>
      <c r="EC294" s="15"/>
      <c r="ED294" s="15">
        <f t="shared" si="1386"/>
        <v>6000</v>
      </c>
      <c r="EF294" s="15"/>
      <c r="EG294" s="15">
        <f t="shared" si="1419"/>
        <v>6000</v>
      </c>
      <c r="EI294" s="15">
        <v>4272.3999999999996</v>
      </c>
      <c r="EK294" s="15">
        <v>2000</v>
      </c>
      <c r="EM294" s="15"/>
      <c r="EN294" s="15">
        <f t="shared" si="1422"/>
        <v>2000</v>
      </c>
      <c r="EP294" s="15"/>
      <c r="EQ294" s="15">
        <f t="shared" si="1423"/>
        <v>2000</v>
      </c>
      <c r="ES294" s="15"/>
      <c r="ET294" s="15">
        <f t="shared" si="1424"/>
        <v>2000</v>
      </c>
      <c r="EW294" s="15">
        <f t="shared" si="1425"/>
        <v>2000</v>
      </c>
      <c r="EZ294" s="15">
        <f t="shared" si="1426"/>
        <v>2000</v>
      </c>
      <c r="FC294" s="15">
        <f t="shared" si="1427"/>
        <v>2000</v>
      </c>
      <c r="FF294" s="15">
        <f t="shared" si="1428"/>
        <v>2000</v>
      </c>
      <c r="FI294" s="15">
        <f t="shared" si="1429"/>
        <v>2000</v>
      </c>
      <c r="FL294" s="15">
        <f t="shared" si="1430"/>
        <v>2000</v>
      </c>
      <c r="FO294" s="15">
        <f t="shared" si="1431"/>
        <v>2000</v>
      </c>
      <c r="FR294" s="15">
        <v>2000</v>
      </c>
      <c r="FT294" s="15">
        <v>1802.8</v>
      </c>
      <c r="FV294" s="15">
        <v>2000</v>
      </c>
      <c r="FW294" s="235">
        <f t="shared" si="1350"/>
        <v>1.1093854004881296</v>
      </c>
      <c r="FY294" s="227">
        <v>-23</v>
      </c>
      <c r="FZ294" s="15">
        <f t="shared" si="1432"/>
        <v>1977</v>
      </c>
      <c r="GB294" s="15"/>
      <c r="GC294" s="15">
        <f t="shared" si="1433"/>
        <v>1977</v>
      </c>
      <c r="GE294" s="227">
        <v>1023</v>
      </c>
      <c r="GF294" s="15">
        <f t="shared" si="1434"/>
        <v>3000</v>
      </c>
      <c r="GH294" s="15"/>
      <c r="GI294" s="15">
        <f t="shared" si="1435"/>
        <v>3000</v>
      </c>
      <c r="GK294" s="15"/>
      <c r="GL294" s="15">
        <f t="shared" si="1436"/>
        <v>3000</v>
      </c>
      <c r="GN294" s="15"/>
      <c r="GO294" s="15">
        <f t="shared" si="1437"/>
        <v>3000</v>
      </c>
      <c r="GQ294" s="227">
        <v>500</v>
      </c>
      <c r="GR294" s="15">
        <f t="shared" si="1438"/>
        <v>3500</v>
      </c>
      <c r="GT294" s="227">
        <v>1000</v>
      </c>
      <c r="GU294" s="15">
        <f t="shared" si="1439"/>
        <v>4500</v>
      </c>
      <c r="GW294" s="15"/>
      <c r="GX294" s="15">
        <f t="shared" si="1440"/>
        <v>4500</v>
      </c>
      <c r="GZ294" s="15"/>
      <c r="HA294" s="189">
        <f t="shared" si="1441"/>
        <v>4500</v>
      </c>
      <c r="HC294" s="189">
        <v>3916.8</v>
      </c>
      <c r="HE294" s="15">
        <v>4500</v>
      </c>
      <c r="HF294" s="235">
        <f t="shared" si="1351"/>
        <v>1.1488970588235294</v>
      </c>
    </row>
    <row r="295" spans="1:214" outlineLevel="1">
      <c r="A295" s="1" t="s">
        <v>76</v>
      </c>
      <c r="B295" s="1" t="s">
        <v>227</v>
      </c>
      <c r="C295" s="4" t="s">
        <v>228</v>
      </c>
      <c r="D295" s="43">
        <v>30000</v>
      </c>
      <c r="E295" s="34">
        <v>30.53</v>
      </c>
      <c r="F295" s="43">
        <v>30000</v>
      </c>
      <c r="G295" s="34">
        <v>30.53</v>
      </c>
      <c r="H295" s="46">
        <v>9159.48</v>
      </c>
      <c r="I295" s="36">
        <f>H295*I2</f>
        <v>10991.375999999998</v>
      </c>
      <c r="J295" s="14"/>
      <c r="K295" t="s">
        <v>332</v>
      </c>
      <c r="L295" s="118">
        <v>12000</v>
      </c>
      <c r="M295" s="17">
        <f t="shared" si="1352"/>
        <v>-0.6</v>
      </c>
      <c r="N295" s="17">
        <f t="shared" si="1348"/>
        <v>9.1765034696293046E-2</v>
      </c>
      <c r="Q295" s="118">
        <v>12000</v>
      </c>
      <c r="R295" s="15">
        <v>3642</v>
      </c>
      <c r="S295" s="118">
        <v>10000</v>
      </c>
      <c r="T295" s="15">
        <f t="shared" si="1442"/>
        <v>-2000</v>
      </c>
      <c r="U295" s="16">
        <f t="shared" si="1443"/>
        <v>-0.16666666666666663</v>
      </c>
      <c r="Y295" s="118">
        <v>10000</v>
      </c>
      <c r="AA295" s="118">
        <v>10000</v>
      </c>
      <c r="AB295" s="185">
        <f t="shared" si="1355"/>
        <v>0</v>
      </c>
      <c r="AC295" s="187">
        <f t="shared" si="1356"/>
        <v>0</v>
      </c>
      <c r="AD295" s="187"/>
      <c r="AE295" s="118">
        <v>10000</v>
      </c>
      <c r="AF295" s="182"/>
      <c r="AH295" s="15">
        <v>7031.45</v>
      </c>
      <c r="AI295" s="17">
        <f t="shared" si="1420"/>
        <v>0.70314500000000002</v>
      </c>
      <c r="AK295" s="118">
        <v>8000</v>
      </c>
      <c r="AR295" s="15"/>
      <c r="AS295" s="15">
        <f t="shared" si="1357"/>
        <v>8000</v>
      </c>
      <c r="AV295" s="15">
        <f t="shared" si="1358"/>
        <v>8000</v>
      </c>
      <c r="AX295" s="15"/>
      <c r="AY295" s="15">
        <f t="shared" si="1359"/>
        <v>8000</v>
      </c>
      <c r="BB295" s="15">
        <f t="shared" si="1360"/>
        <v>8000</v>
      </c>
      <c r="BD295" s="15">
        <v>-2000</v>
      </c>
      <c r="BE295" s="15">
        <f t="shared" si="1361"/>
        <v>6000</v>
      </c>
      <c r="BG295" s="15"/>
      <c r="BH295" s="15">
        <f t="shared" si="1362"/>
        <v>6000</v>
      </c>
      <c r="BJ295" s="15">
        <v>4693.1000000000004</v>
      </c>
      <c r="BK295" s="235">
        <f t="shared" si="1421"/>
        <v>0.78218333333333334</v>
      </c>
      <c r="BM295" s="15">
        <v>5000</v>
      </c>
      <c r="BN295" s="235">
        <f t="shared" si="1416"/>
        <v>1.065393876116</v>
      </c>
      <c r="BO295" s="235">
        <f t="shared" si="1417"/>
        <v>0.83333333333333337</v>
      </c>
      <c r="BQ295" s="15"/>
      <c r="BR295" s="15">
        <f t="shared" si="1418"/>
        <v>5000</v>
      </c>
      <c r="BT295" s="15"/>
      <c r="BU295" s="15">
        <f t="shared" si="1367"/>
        <v>5000</v>
      </c>
      <c r="BW295" s="15"/>
      <c r="BX295" s="15">
        <f t="shared" si="1368"/>
        <v>5000</v>
      </c>
      <c r="BZ295" s="15"/>
      <c r="CA295" s="15">
        <f t="shared" si="1369"/>
        <v>5000</v>
      </c>
      <c r="CC295" s="15"/>
      <c r="CD295" s="15">
        <f t="shared" si="1370"/>
        <v>5000</v>
      </c>
      <c r="CF295" s="15"/>
      <c r="CG295" s="15">
        <f t="shared" si="1371"/>
        <v>5000</v>
      </c>
      <c r="CI295" s="15"/>
      <c r="CJ295" s="15">
        <f t="shared" si="1372"/>
        <v>5000</v>
      </c>
      <c r="CM295" s="15">
        <f t="shared" si="1373"/>
        <v>5000</v>
      </c>
      <c r="CP295" s="15">
        <f t="shared" si="1374"/>
        <v>5000</v>
      </c>
      <c r="CS295" s="15">
        <f t="shared" si="1375"/>
        <v>5000</v>
      </c>
      <c r="CV295" s="15">
        <f t="shared" si="1376"/>
        <v>5000</v>
      </c>
      <c r="CY295" s="15">
        <f t="shared" si="1377"/>
        <v>5000</v>
      </c>
      <c r="DA295" s="15">
        <v>3414.94</v>
      </c>
      <c r="DC295" s="15">
        <v>5000</v>
      </c>
      <c r="DE295" s="15"/>
      <c r="DF295" s="15">
        <f t="shared" si="1378"/>
        <v>5000</v>
      </c>
      <c r="DH295" s="15"/>
      <c r="DI295" s="15">
        <f t="shared" si="1379"/>
        <v>5000</v>
      </c>
      <c r="DK295" s="15"/>
      <c r="DL295" s="15">
        <f t="shared" si="1380"/>
        <v>5000</v>
      </c>
      <c r="DN295" s="15"/>
      <c r="DO295" s="15">
        <f t="shared" si="1381"/>
        <v>5000</v>
      </c>
      <c r="DQ295" s="15"/>
      <c r="DR295" s="15">
        <f t="shared" si="1382"/>
        <v>5000</v>
      </c>
      <c r="DT295" s="15"/>
      <c r="DU295" s="15">
        <f t="shared" si="1383"/>
        <v>5000</v>
      </c>
      <c r="DW295" s="15"/>
      <c r="DX295" s="15">
        <f t="shared" si="1384"/>
        <v>5000</v>
      </c>
      <c r="DZ295" s="15"/>
      <c r="EA295" s="15">
        <f t="shared" si="1385"/>
        <v>5000</v>
      </c>
      <c r="EC295" s="15"/>
      <c r="ED295" s="15">
        <f t="shared" si="1386"/>
        <v>5000</v>
      </c>
      <c r="EF295" s="15"/>
      <c r="EG295" s="15">
        <f t="shared" si="1419"/>
        <v>5000</v>
      </c>
      <c r="EI295" s="15">
        <v>3396.94</v>
      </c>
      <c r="EK295" s="15">
        <v>3500</v>
      </c>
      <c r="EM295" s="15"/>
      <c r="EN295" s="15">
        <f t="shared" si="1422"/>
        <v>3500</v>
      </c>
      <c r="EP295" s="15"/>
      <c r="EQ295" s="15">
        <f t="shared" si="1423"/>
        <v>3500</v>
      </c>
      <c r="ES295" s="15"/>
      <c r="ET295" s="15">
        <f t="shared" si="1424"/>
        <v>3500</v>
      </c>
      <c r="EW295" s="15">
        <f t="shared" si="1425"/>
        <v>3500</v>
      </c>
      <c r="EZ295" s="15">
        <f t="shared" si="1426"/>
        <v>3500</v>
      </c>
      <c r="FC295" s="15">
        <f t="shared" si="1427"/>
        <v>3500</v>
      </c>
      <c r="FF295" s="15">
        <f t="shared" si="1428"/>
        <v>3500</v>
      </c>
      <c r="FI295" s="15">
        <f t="shared" si="1429"/>
        <v>3500</v>
      </c>
      <c r="FL295" s="15">
        <f t="shared" si="1430"/>
        <v>3500</v>
      </c>
      <c r="FO295" s="15">
        <f t="shared" si="1431"/>
        <v>3500</v>
      </c>
      <c r="FR295" s="15">
        <v>3500</v>
      </c>
      <c r="FT295" s="15">
        <v>2843.95</v>
      </c>
      <c r="FV295" s="15">
        <v>3000</v>
      </c>
      <c r="FW295" s="235">
        <f t="shared" si="1350"/>
        <v>1.054870866224793</v>
      </c>
      <c r="FZ295" s="15">
        <f t="shared" si="1432"/>
        <v>3000</v>
      </c>
      <c r="GB295" s="15"/>
      <c r="GC295" s="15">
        <f t="shared" si="1433"/>
        <v>3000</v>
      </c>
      <c r="GE295" s="15"/>
      <c r="GF295" s="15">
        <f t="shared" si="1434"/>
        <v>3000</v>
      </c>
      <c r="GH295" s="15"/>
      <c r="GI295" s="15">
        <f t="shared" si="1435"/>
        <v>3000</v>
      </c>
      <c r="GK295" s="15"/>
      <c r="GL295" s="15">
        <f t="shared" si="1436"/>
        <v>3000</v>
      </c>
      <c r="GN295" s="15"/>
      <c r="GO295" s="15">
        <f t="shared" si="1437"/>
        <v>3000</v>
      </c>
      <c r="GQ295" s="227">
        <v>2800</v>
      </c>
      <c r="GR295" s="15">
        <f t="shared" si="1438"/>
        <v>5800</v>
      </c>
      <c r="GT295" s="15"/>
      <c r="GU295" s="15">
        <f t="shared" si="1439"/>
        <v>5800</v>
      </c>
      <c r="GW295" s="15"/>
      <c r="GX295" s="15">
        <f t="shared" si="1440"/>
        <v>5800</v>
      </c>
      <c r="GZ295" s="227">
        <v>800</v>
      </c>
      <c r="HA295" s="189">
        <f t="shared" si="1441"/>
        <v>6600</v>
      </c>
      <c r="HC295" s="189">
        <v>6577.14</v>
      </c>
      <c r="HE295" s="15">
        <v>7000</v>
      </c>
      <c r="HF295" s="235">
        <f t="shared" si="1351"/>
        <v>1.0642923824032937</v>
      </c>
    </row>
    <row r="296" spans="1:214" outlineLevel="1">
      <c r="A296" s="1" t="s">
        <v>76</v>
      </c>
      <c r="B296" s="1" t="s">
        <v>229</v>
      </c>
      <c r="C296" s="4" t="s">
        <v>230</v>
      </c>
      <c r="D296" s="43">
        <v>7000</v>
      </c>
      <c r="E296" s="34">
        <v>77.17</v>
      </c>
      <c r="F296" s="43">
        <v>7000</v>
      </c>
      <c r="G296" s="34">
        <v>77.17</v>
      </c>
      <c r="H296" s="46">
        <v>5402</v>
      </c>
      <c r="I296" s="15">
        <f>H296*$I$2</f>
        <v>6482.4</v>
      </c>
      <c r="K296" t="s">
        <v>332</v>
      </c>
      <c r="L296" s="118">
        <v>7200</v>
      </c>
      <c r="M296" s="17">
        <f t="shared" si="1352"/>
        <v>2.857142857142847E-2</v>
      </c>
      <c r="N296" s="17">
        <f t="shared" si="1348"/>
        <v>0.11069974083672718</v>
      </c>
      <c r="Q296" s="118">
        <v>7200</v>
      </c>
      <c r="R296" s="15">
        <v>2917</v>
      </c>
      <c r="S296" s="118">
        <v>6000</v>
      </c>
      <c r="T296" s="15">
        <f t="shared" si="1442"/>
        <v>-1200</v>
      </c>
      <c r="U296" s="16">
        <f t="shared" si="1443"/>
        <v>-0.16666666666666663</v>
      </c>
      <c r="Y296" s="118">
        <v>6000</v>
      </c>
      <c r="AA296" s="118">
        <v>4500</v>
      </c>
      <c r="AB296" s="185">
        <f t="shared" si="1355"/>
        <v>-1500</v>
      </c>
      <c r="AC296" s="187">
        <f t="shared" si="1356"/>
        <v>-1500</v>
      </c>
      <c r="AD296" s="187"/>
      <c r="AE296" s="118">
        <v>4500</v>
      </c>
      <c r="AF296" s="182"/>
      <c r="AH296" s="15">
        <v>0</v>
      </c>
      <c r="AI296" s="17">
        <f t="shared" si="1420"/>
        <v>0</v>
      </c>
      <c r="AK296" s="118">
        <v>0</v>
      </c>
      <c r="AR296" s="15"/>
      <c r="AS296" s="15">
        <f t="shared" si="1357"/>
        <v>0</v>
      </c>
      <c r="AV296" s="15">
        <f t="shared" si="1358"/>
        <v>0</v>
      </c>
      <c r="AX296" s="15"/>
      <c r="AY296" s="15">
        <f t="shared" si="1359"/>
        <v>0</v>
      </c>
      <c r="BB296" s="15">
        <f t="shared" si="1360"/>
        <v>0</v>
      </c>
      <c r="BD296" s="15"/>
      <c r="BE296" s="15">
        <f t="shared" si="1361"/>
        <v>0</v>
      </c>
      <c r="BG296" s="15"/>
      <c r="BH296" s="15">
        <f t="shared" si="1362"/>
        <v>0</v>
      </c>
      <c r="BJ296" s="15">
        <v>0</v>
      </c>
      <c r="BK296" s="235" t="e">
        <f t="shared" si="1421"/>
        <v>#DIV/0!</v>
      </c>
      <c r="BM296" s="15"/>
      <c r="BN296" s="235" t="e">
        <f t="shared" si="1416"/>
        <v>#DIV/0!</v>
      </c>
      <c r="BO296" s="235" t="e">
        <f t="shared" si="1417"/>
        <v>#DIV/0!</v>
      </c>
      <c r="BQ296" s="15"/>
      <c r="BR296" s="15">
        <f t="shared" si="1418"/>
        <v>0</v>
      </c>
      <c r="BT296" s="15"/>
      <c r="BU296" s="15">
        <f t="shared" si="1367"/>
        <v>0</v>
      </c>
      <c r="BW296" s="15"/>
      <c r="BX296" s="15">
        <f t="shared" si="1368"/>
        <v>0</v>
      </c>
      <c r="BZ296" s="15"/>
      <c r="CA296" s="15">
        <f t="shared" si="1369"/>
        <v>0</v>
      </c>
      <c r="CC296" s="15"/>
      <c r="CD296" s="15">
        <f t="shared" si="1370"/>
        <v>0</v>
      </c>
      <c r="CF296" s="15"/>
      <c r="CG296" s="15">
        <f t="shared" si="1371"/>
        <v>0</v>
      </c>
      <c r="CI296" s="15"/>
      <c r="CJ296" s="15">
        <f t="shared" si="1372"/>
        <v>0</v>
      </c>
      <c r="CM296" s="15">
        <f t="shared" si="1373"/>
        <v>0</v>
      </c>
      <c r="CP296" s="15">
        <f t="shared" si="1374"/>
        <v>0</v>
      </c>
      <c r="CS296" s="15">
        <f t="shared" si="1375"/>
        <v>0</v>
      </c>
      <c r="CV296" s="15">
        <f t="shared" si="1376"/>
        <v>0</v>
      </c>
      <c r="CY296" s="15">
        <f t="shared" si="1377"/>
        <v>0</v>
      </c>
      <c r="DA296" s="15">
        <v>0</v>
      </c>
      <c r="DE296" s="15"/>
      <c r="DF296" s="15">
        <f t="shared" si="1378"/>
        <v>0</v>
      </c>
      <c r="DH296" s="15"/>
      <c r="DI296" s="15">
        <f t="shared" si="1379"/>
        <v>0</v>
      </c>
      <c r="DK296" s="15"/>
      <c r="DL296" s="15">
        <f t="shared" si="1380"/>
        <v>0</v>
      </c>
      <c r="DN296" s="15"/>
      <c r="DO296" s="15">
        <f t="shared" si="1381"/>
        <v>0</v>
      </c>
      <c r="DQ296" s="15"/>
      <c r="DR296" s="15">
        <f t="shared" si="1382"/>
        <v>0</v>
      </c>
      <c r="DT296" s="15"/>
      <c r="DU296" s="15">
        <f t="shared" si="1383"/>
        <v>0</v>
      </c>
      <c r="DW296" s="15"/>
      <c r="DX296" s="15">
        <f t="shared" si="1384"/>
        <v>0</v>
      </c>
      <c r="DZ296" s="15"/>
      <c r="EA296" s="15">
        <f t="shared" si="1385"/>
        <v>0</v>
      </c>
      <c r="EC296" s="15"/>
      <c r="ED296" s="15">
        <f t="shared" si="1386"/>
        <v>0</v>
      </c>
      <c r="EF296" s="15"/>
      <c r="EG296" s="15">
        <f t="shared" si="1419"/>
        <v>0</v>
      </c>
      <c r="EK296" s="15"/>
      <c r="EM296" s="15"/>
      <c r="EN296" s="15">
        <f t="shared" si="1422"/>
        <v>0</v>
      </c>
      <c r="EP296" s="15"/>
      <c r="EQ296" s="15">
        <f t="shared" si="1423"/>
        <v>0</v>
      </c>
      <c r="ES296" s="15"/>
      <c r="ET296" s="15">
        <f t="shared" si="1424"/>
        <v>0</v>
      </c>
      <c r="EW296" s="15">
        <f t="shared" si="1425"/>
        <v>0</v>
      </c>
      <c r="EZ296" s="15">
        <f t="shared" si="1426"/>
        <v>0</v>
      </c>
      <c r="FC296" s="15">
        <f t="shared" si="1427"/>
        <v>0</v>
      </c>
      <c r="FF296" s="15">
        <f t="shared" si="1428"/>
        <v>0</v>
      </c>
      <c r="FI296" s="15">
        <f t="shared" si="1429"/>
        <v>0</v>
      </c>
      <c r="FL296" s="15">
        <f t="shared" si="1430"/>
        <v>0</v>
      </c>
      <c r="FO296" s="15">
        <f t="shared" si="1431"/>
        <v>0</v>
      </c>
      <c r="FR296" s="15">
        <v>0</v>
      </c>
      <c r="FW296" s="235" t="e">
        <f t="shared" si="1350"/>
        <v>#DIV/0!</v>
      </c>
      <c r="FZ296" s="15">
        <f t="shared" si="1432"/>
        <v>0</v>
      </c>
      <c r="GB296" s="15"/>
      <c r="GC296" s="15">
        <f t="shared" si="1433"/>
        <v>0</v>
      </c>
      <c r="GE296" s="15"/>
      <c r="GF296" s="15">
        <f t="shared" si="1434"/>
        <v>0</v>
      </c>
      <c r="GH296" s="15"/>
      <c r="GI296" s="15">
        <f t="shared" si="1435"/>
        <v>0</v>
      </c>
      <c r="GK296" s="15"/>
      <c r="GL296" s="15">
        <f t="shared" si="1436"/>
        <v>0</v>
      </c>
      <c r="GN296" s="15"/>
      <c r="GO296" s="15">
        <f t="shared" si="1437"/>
        <v>0</v>
      </c>
      <c r="GQ296" s="15"/>
      <c r="GR296" s="15">
        <f t="shared" si="1438"/>
        <v>0</v>
      </c>
      <c r="GT296" s="15"/>
      <c r="GU296" s="15">
        <f t="shared" si="1439"/>
        <v>0</v>
      </c>
      <c r="GW296" s="15"/>
      <c r="GX296" s="15">
        <f t="shared" si="1440"/>
        <v>0</v>
      </c>
      <c r="GZ296" s="15"/>
      <c r="HA296" s="189">
        <f t="shared" si="1441"/>
        <v>0</v>
      </c>
      <c r="HF296" s="235" t="e">
        <f t="shared" si="1351"/>
        <v>#DIV/0!</v>
      </c>
    </row>
    <row r="297" spans="1:214" outlineLevel="1">
      <c r="A297" s="1" t="s">
        <v>76</v>
      </c>
      <c r="B297" s="1" t="s">
        <v>195</v>
      </c>
      <c r="C297" s="4" t="s">
        <v>196</v>
      </c>
      <c r="D297" s="43">
        <v>30000</v>
      </c>
      <c r="E297" s="34">
        <v>76.709999999999994</v>
      </c>
      <c r="F297" s="43">
        <v>30000</v>
      </c>
      <c r="G297" s="34">
        <v>76.709999999999994</v>
      </c>
      <c r="H297" s="46">
        <v>23012</v>
      </c>
      <c r="I297" s="36">
        <v>27200</v>
      </c>
      <c r="J297" s="14"/>
      <c r="L297" s="118">
        <v>15000</v>
      </c>
      <c r="M297" s="17">
        <f t="shared" ref="M297" si="1444">L297/F297-1</f>
        <v>-0.5</v>
      </c>
      <c r="N297" s="17">
        <f t="shared" ref="N297" si="1445">L297/I297-1</f>
        <v>-0.44852941176470584</v>
      </c>
      <c r="Q297" s="118">
        <v>15000</v>
      </c>
      <c r="R297" s="15">
        <v>6430</v>
      </c>
      <c r="S297" s="118">
        <v>9000</v>
      </c>
      <c r="T297" s="15">
        <f t="shared" ref="T297" si="1446">S297-Q297</f>
        <v>-6000</v>
      </c>
      <c r="U297" s="16">
        <f t="shared" ref="U297" si="1447">S297/Q297-1</f>
        <v>-0.4</v>
      </c>
      <c r="Y297" s="118">
        <v>9000</v>
      </c>
      <c r="AA297" s="118">
        <v>9000</v>
      </c>
      <c r="AB297" s="185">
        <f t="shared" ref="AB297" si="1448">AA297-Y297</f>
        <v>0</v>
      </c>
      <c r="AC297" s="187">
        <f t="shared" ref="AC297" si="1449">AA297-Y297</f>
        <v>0</v>
      </c>
      <c r="AD297" s="187"/>
      <c r="AE297" s="118">
        <v>9000</v>
      </c>
      <c r="AF297" s="182"/>
      <c r="AH297" s="15">
        <v>8530</v>
      </c>
      <c r="AI297" s="17">
        <f t="shared" si="1420"/>
        <v>0.94777777777777783</v>
      </c>
      <c r="AK297" s="118">
        <v>9000</v>
      </c>
      <c r="AR297" s="15"/>
      <c r="AS297" s="15">
        <f t="shared" si="1357"/>
        <v>9000</v>
      </c>
      <c r="AU297" s="15">
        <v>3000</v>
      </c>
      <c r="AV297" s="15">
        <f t="shared" si="1358"/>
        <v>12000</v>
      </c>
      <c r="AX297" s="15"/>
      <c r="AY297" s="15">
        <f t="shared" si="1359"/>
        <v>12000</v>
      </c>
      <c r="BB297" s="15">
        <f t="shared" si="1360"/>
        <v>12000</v>
      </c>
      <c r="BD297" s="15">
        <v>2000</v>
      </c>
      <c r="BE297" s="15">
        <f t="shared" si="1361"/>
        <v>14000</v>
      </c>
      <c r="BG297" s="15">
        <v>3000</v>
      </c>
      <c r="BH297" s="15">
        <f t="shared" si="1362"/>
        <v>17000</v>
      </c>
      <c r="BJ297" s="15">
        <v>16825.900000000001</v>
      </c>
      <c r="BK297" s="235">
        <f t="shared" si="1421"/>
        <v>0.9897588235294118</v>
      </c>
      <c r="BM297" s="15">
        <v>14000</v>
      </c>
      <c r="BN297" s="235">
        <f t="shared" si="1416"/>
        <v>0.8320505886757914</v>
      </c>
      <c r="BO297" s="235">
        <f t="shared" si="1417"/>
        <v>0.82352941176470584</v>
      </c>
      <c r="BQ297" s="15"/>
      <c r="BR297" s="15">
        <f t="shared" si="1418"/>
        <v>14000</v>
      </c>
      <c r="BT297" s="227">
        <v>5000</v>
      </c>
      <c r="BU297" s="15">
        <f t="shared" si="1367"/>
        <v>19000</v>
      </c>
      <c r="BW297" s="15"/>
      <c r="BX297" s="15">
        <f t="shared" si="1368"/>
        <v>19000</v>
      </c>
      <c r="BZ297" s="15"/>
      <c r="CA297" s="15">
        <f t="shared" si="1369"/>
        <v>19000</v>
      </c>
      <c r="CC297" s="15"/>
      <c r="CD297" s="15">
        <f t="shared" si="1370"/>
        <v>19000</v>
      </c>
      <c r="CF297" s="15"/>
      <c r="CG297" s="15">
        <f t="shared" si="1371"/>
        <v>19000</v>
      </c>
      <c r="CI297" s="15"/>
      <c r="CJ297" s="15">
        <f t="shared" si="1372"/>
        <v>19000</v>
      </c>
      <c r="CM297" s="15">
        <f t="shared" si="1373"/>
        <v>19000</v>
      </c>
      <c r="CP297" s="15">
        <f t="shared" si="1374"/>
        <v>19000</v>
      </c>
      <c r="CS297" s="15">
        <f t="shared" si="1375"/>
        <v>19000</v>
      </c>
      <c r="CU297" s="227">
        <v>2000</v>
      </c>
      <c r="CV297" s="15">
        <f t="shared" si="1376"/>
        <v>21000</v>
      </c>
      <c r="CX297" s="227"/>
      <c r="CY297" s="15">
        <f t="shared" si="1377"/>
        <v>21000</v>
      </c>
      <c r="DA297" s="15">
        <v>20860</v>
      </c>
      <c r="DC297" s="15">
        <v>15000</v>
      </c>
      <c r="DE297" s="15"/>
      <c r="DF297" s="15">
        <f t="shared" si="1378"/>
        <v>15000</v>
      </c>
      <c r="DH297" s="15"/>
      <c r="DI297" s="15">
        <f t="shared" si="1379"/>
        <v>15000</v>
      </c>
      <c r="DK297" s="15"/>
      <c r="DL297" s="15">
        <f t="shared" si="1380"/>
        <v>15000</v>
      </c>
      <c r="DN297" s="15"/>
      <c r="DO297" s="15">
        <f t="shared" si="1381"/>
        <v>15000</v>
      </c>
      <c r="DQ297" s="15"/>
      <c r="DR297" s="15">
        <f t="shared" si="1382"/>
        <v>15000</v>
      </c>
      <c r="DT297" s="15"/>
      <c r="DU297" s="15">
        <f t="shared" si="1383"/>
        <v>15000</v>
      </c>
      <c r="DW297" s="15"/>
      <c r="DX297" s="15">
        <f t="shared" si="1384"/>
        <v>15000</v>
      </c>
      <c r="DZ297" s="227">
        <v>3000</v>
      </c>
      <c r="EA297" s="15">
        <f t="shared" si="1385"/>
        <v>18000</v>
      </c>
      <c r="EC297" s="15"/>
      <c r="ED297" s="15">
        <f t="shared" si="1386"/>
        <v>18000</v>
      </c>
      <c r="EF297" s="15"/>
      <c r="EG297" s="15">
        <f t="shared" si="1419"/>
        <v>18000</v>
      </c>
      <c r="EI297" s="15">
        <v>17153</v>
      </c>
      <c r="EK297" s="15">
        <v>15000</v>
      </c>
      <c r="EM297" s="15"/>
      <c r="EN297" s="15">
        <f t="shared" si="1422"/>
        <v>15000</v>
      </c>
      <c r="EP297" s="15"/>
      <c r="EQ297" s="15">
        <f t="shared" si="1423"/>
        <v>15000</v>
      </c>
      <c r="ES297" s="15"/>
      <c r="ET297" s="15">
        <f t="shared" si="1424"/>
        <v>15000</v>
      </c>
      <c r="EW297" s="15">
        <f t="shared" si="1425"/>
        <v>15000</v>
      </c>
      <c r="EZ297" s="15">
        <f t="shared" si="1426"/>
        <v>15000</v>
      </c>
      <c r="FC297" s="15">
        <f t="shared" si="1427"/>
        <v>15000</v>
      </c>
      <c r="FF297" s="15">
        <f t="shared" si="1428"/>
        <v>15000</v>
      </c>
      <c r="FI297" s="15">
        <f t="shared" si="1429"/>
        <v>15000</v>
      </c>
      <c r="FK297" s="227">
        <v>-6000</v>
      </c>
      <c r="FL297" s="15">
        <f t="shared" si="1430"/>
        <v>9000</v>
      </c>
      <c r="FN297" s="227">
        <v>1100</v>
      </c>
      <c r="FO297" s="15">
        <f t="shared" si="1431"/>
        <v>10100</v>
      </c>
      <c r="FR297" s="15">
        <v>10100</v>
      </c>
      <c r="FT297" s="15">
        <v>10057</v>
      </c>
      <c r="FV297" s="15">
        <v>10000</v>
      </c>
      <c r="FW297" s="235">
        <f t="shared" si="1350"/>
        <v>0.99433230585661725</v>
      </c>
      <c r="FZ297" s="15">
        <f t="shared" si="1432"/>
        <v>10000</v>
      </c>
      <c r="GB297" s="15"/>
      <c r="GC297" s="15">
        <f t="shared" si="1433"/>
        <v>10000</v>
      </c>
      <c r="GE297" s="15"/>
      <c r="GF297" s="15">
        <f t="shared" si="1434"/>
        <v>10000</v>
      </c>
      <c r="GH297" s="15"/>
      <c r="GI297" s="15">
        <f t="shared" si="1435"/>
        <v>10000</v>
      </c>
      <c r="GK297" s="15"/>
      <c r="GL297" s="15">
        <f t="shared" si="1436"/>
        <v>10000</v>
      </c>
      <c r="GN297" s="15"/>
      <c r="GO297" s="15">
        <f t="shared" si="1437"/>
        <v>10000</v>
      </c>
      <c r="GQ297" s="227">
        <v>20000</v>
      </c>
      <c r="GR297" s="15">
        <f t="shared" si="1438"/>
        <v>30000</v>
      </c>
      <c r="GT297" s="15"/>
      <c r="GU297" s="15">
        <f t="shared" si="1439"/>
        <v>30000</v>
      </c>
      <c r="GW297" s="15"/>
      <c r="GX297" s="15">
        <f t="shared" si="1440"/>
        <v>30000</v>
      </c>
      <c r="GZ297" s="227">
        <v>600</v>
      </c>
      <c r="HA297" s="189">
        <f t="shared" si="1441"/>
        <v>30600</v>
      </c>
      <c r="HC297" s="189">
        <v>30567</v>
      </c>
      <c r="HE297" s="15">
        <v>30000</v>
      </c>
      <c r="HF297" s="235">
        <f t="shared" si="1351"/>
        <v>0.98145058396309748</v>
      </c>
    </row>
    <row r="298" spans="1:214" outlineLevel="1">
      <c r="A298" s="1" t="s">
        <v>76</v>
      </c>
      <c r="B298" s="1" t="s">
        <v>390</v>
      </c>
      <c r="C298" s="4" t="s">
        <v>421</v>
      </c>
      <c r="D298" s="43"/>
      <c r="E298" s="34"/>
      <c r="F298" s="43"/>
      <c r="G298" s="34"/>
      <c r="H298" s="46"/>
      <c r="M298" s="17"/>
      <c r="N298" s="17"/>
      <c r="U298" s="16"/>
      <c r="Y298" s="118"/>
      <c r="AA298" s="118">
        <v>18000</v>
      </c>
      <c r="AB298" s="185">
        <f t="shared" si="1355"/>
        <v>18000</v>
      </c>
      <c r="AC298" s="187">
        <f t="shared" si="1356"/>
        <v>18000</v>
      </c>
      <c r="AD298" s="187"/>
      <c r="AE298" s="118">
        <v>18000</v>
      </c>
      <c r="AF298" s="182"/>
      <c r="AH298" s="15">
        <v>6642.9</v>
      </c>
      <c r="AI298" s="17">
        <f t="shared" si="1420"/>
        <v>0.36904999999999999</v>
      </c>
      <c r="AK298" s="118">
        <v>25000</v>
      </c>
      <c r="AP298" s="220">
        <v>18000</v>
      </c>
      <c r="AR298" s="15"/>
      <c r="AS298" s="15">
        <f t="shared" si="1357"/>
        <v>25000</v>
      </c>
      <c r="AV298" s="15">
        <f t="shared" si="1358"/>
        <v>25000</v>
      </c>
      <c r="AX298" s="15"/>
      <c r="AY298" s="15">
        <f t="shared" si="1359"/>
        <v>25000</v>
      </c>
      <c r="BB298" s="15">
        <f t="shared" si="1360"/>
        <v>25000</v>
      </c>
      <c r="BD298" s="15"/>
      <c r="BE298" s="15">
        <f t="shared" si="1361"/>
        <v>25000</v>
      </c>
      <c r="BG298" s="15"/>
      <c r="BH298" s="15">
        <f t="shared" si="1362"/>
        <v>25000</v>
      </c>
      <c r="BJ298" s="15">
        <v>21271.8</v>
      </c>
      <c r="BK298" s="235">
        <f t="shared" si="1421"/>
        <v>0.85087199999999996</v>
      </c>
      <c r="BM298" s="15">
        <v>25000</v>
      </c>
      <c r="BN298" s="235">
        <f t="shared" si="1416"/>
        <v>1.1752649047095216</v>
      </c>
      <c r="BO298" s="235">
        <f t="shared" si="1417"/>
        <v>1</v>
      </c>
      <c r="BQ298" s="15"/>
      <c r="BR298" s="15">
        <f t="shared" si="1418"/>
        <v>25000</v>
      </c>
      <c r="BT298" s="15"/>
      <c r="BU298" s="15">
        <f t="shared" si="1367"/>
        <v>25000</v>
      </c>
      <c r="BW298" s="15"/>
      <c r="BX298" s="15">
        <f t="shared" si="1368"/>
        <v>25000</v>
      </c>
      <c r="BZ298" s="15"/>
      <c r="CA298" s="15">
        <f t="shared" si="1369"/>
        <v>25000</v>
      </c>
      <c r="CC298" s="15"/>
      <c r="CD298" s="15">
        <f t="shared" si="1370"/>
        <v>25000</v>
      </c>
      <c r="CF298" s="15"/>
      <c r="CG298" s="15">
        <f t="shared" si="1371"/>
        <v>25000</v>
      </c>
      <c r="CI298" s="15"/>
      <c r="CJ298" s="15">
        <f t="shared" si="1372"/>
        <v>25000</v>
      </c>
      <c r="CM298" s="15">
        <f t="shared" si="1373"/>
        <v>25000</v>
      </c>
      <c r="CP298" s="15">
        <f t="shared" si="1374"/>
        <v>25000</v>
      </c>
      <c r="CS298" s="15">
        <f t="shared" si="1375"/>
        <v>25000</v>
      </c>
      <c r="CV298" s="15">
        <f t="shared" si="1376"/>
        <v>25000</v>
      </c>
      <c r="CY298" s="15">
        <f t="shared" si="1377"/>
        <v>25000</v>
      </c>
      <c r="DA298" s="15">
        <v>23147.3</v>
      </c>
      <c r="DC298" s="15">
        <v>25000</v>
      </c>
      <c r="DE298" s="15"/>
      <c r="DF298" s="15">
        <f t="shared" si="1378"/>
        <v>25000</v>
      </c>
      <c r="DH298" s="227">
        <v>21000</v>
      </c>
      <c r="DI298" s="15">
        <f t="shared" si="1379"/>
        <v>46000</v>
      </c>
      <c r="DK298" s="15"/>
      <c r="DL298" s="15">
        <f t="shared" si="1380"/>
        <v>46000</v>
      </c>
      <c r="DN298" s="15"/>
      <c r="DO298" s="15">
        <f t="shared" si="1381"/>
        <v>46000</v>
      </c>
      <c r="DQ298" s="227">
        <v>5000</v>
      </c>
      <c r="DR298" s="15">
        <f t="shared" si="1382"/>
        <v>51000</v>
      </c>
      <c r="DT298" s="15"/>
      <c r="DU298" s="15">
        <f t="shared" si="1383"/>
        <v>51000</v>
      </c>
      <c r="DW298" s="15"/>
      <c r="DX298" s="15">
        <f t="shared" si="1384"/>
        <v>51000</v>
      </c>
      <c r="DZ298" s="227">
        <v>500</v>
      </c>
      <c r="EA298" s="15">
        <f t="shared" si="1385"/>
        <v>51500</v>
      </c>
      <c r="EC298" s="227">
        <v>8500</v>
      </c>
      <c r="ED298" s="15">
        <f t="shared" si="1386"/>
        <v>60000</v>
      </c>
      <c r="EF298" s="15"/>
      <c r="EG298" s="15">
        <f t="shared" si="1419"/>
        <v>60000</v>
      </c>
      <c r="EI298" s="15">
        <v>56015.9</v>
      </c>
      <c r="EK298" s="15">
        <v>29000</v>
      </c>
      <c r="EM298" s="15"/>
      <c r="EN298" s="15">
        <f t="shared" si="1422"/>
        <v>29000</v>
      </c>
      <c r="EP298" s="15"/>
      <c r="EQ298" s="15">
        <f t="shared" si="1423"/>
        <v>29000</v>
      </c>
      <c r="ES298" s="15"/>
      <c r="ET298" s="15">
        <f t="shared" si="1424"/>
        <v>29000</v>
      </c>
      <c r="EW298" s="15">
        <f t="shared" si="1425"/>
        <v>29000</v>
      </c>
      <c r="EZ298" s="15">
        <f t="shared" si="1426"/>
        <v>29000</v>
      </c>
      <c r="FC298" s="15">
        <f t="shared" si="1427"/>
        <v>29000</v>
      </c>
      <c r="FF298" s="15">
        <f t="shared" si="1428"/>
        <v>29000</v>
      </c>
      <c r="FI298" s="15">
        <f t="shared" si="1429"/>
        <v>29000</v>
      </c>
      <c r="FL298" s="15">
        <f t="shared" si="1430"/>
        <v>29000</v>
      </c>
      <c r="FO298" s="15">
        <f t="shared" si="1431"/>
        <v>29000</v>
      </c>
      <c r="FR298" s="15">
        <v>29000</v>
      </c>
      <c r="FT298" s="15">
        <v>26117.08</v>
      </c>
      <c r="FV298" s="15">
        <v>27000</v>
      </c>
      <c r="FW298" s="235">
        <f t="shared" si="1350"/>
        <v>1.0338062294866042</v>
      </c>
      <c r="FZ298" s="15">
        <f t="shared" si="1432"/>
        <v>27000</v>
      </c>
      <c r="GB298" s="15"/>
      <c r="GC298" s="15">
        <f t="shared" si="1433"/>
        <v>27000</v>
      </c>
      <c r="GE298" s="15"/>
      <c r="GF298" s="15">
        <f t="shared" si="1434"/>
        <v>27000</v>
      </c>
      <c r="GH298" s="15"/>
      <c r="GI298" s="15">
        <f t="shared" si="1435"/>
        <v>27000</v>
      </c>
      <c r="GK298" s="15"/>
      <c r="GL298" s="15">
        <f t="shared" si="1436"/>
        <v>27000</v>
      </c>
      <c r="GN298" s="227">
        <v>5500</v>
      </c>
      <c r="GO298" s="15">
        <f t="shared" si="1437"/>
        <v>32500</v>
      </c>
      <c r="GQ298" s="227">
        <v>2000</v>
      </c>
      <c r="GR298" s="15">
        <f t="shared" si="1438"/>
        <v>34500</v>
      </c>
      <c r="GT298" s="15"/>
      <c r="GU298" s="15">
        <f t="shared" si="1439"/>
        <v>34500</v>
      </c>
      <c r="GW298" s="227">
        <v>2500</v>
      </c>
      <c r="GX298" s="15">
        <f t="shared" si="1440"/>
        <v>37000</v>
      </c>
      <c r="GZ298" s="227">
        <v>2900</v>
      </c>
      <c r="HA298" s="189">
        <f t="shared" si="1441"/>
        <v>39900</v>
      </c>
      <c r="HC298" s="189">
        <v>39824.11</v>
      </c>
      <c r="HE298" s="15">
        <v>26100</v>
      </c>
      <c r="HF298" s="235">
        <f t="shared" si="1351"/>
        <v>0.65538187796287228</v>
      </c>
    </row>
    <row r="299" spans="1:214" outlineLevel="1">
      <c r="A299" s="1" t="s">
        <v>76</v>
      </c>
      <c r="B299" s="1" t="s">
        <v>115</v>
      </c>
      <c r="C299" s="4" t="s">
        <v>116</v>
      </c>
      <c r="D299" s="43">
        <v>130000</v>
      </c>
      <c r="E299" s="34">
        <v>119.71</v>
      </c>
      <c r="F299" s="43">
        <v>230000</v>
      </c>
      <c r="G299" s="34">
        <v>67.66</v>
      </c>
      <c r="H299" s="46">
        <v>155628.76</v>
      </c>
      <c r="I299" s="36">
        <v>190000</v>
      </c>
      <c r="J299" s="14"/>
      <c r="L299" s="118">
        <v>150000</v>
      </c>
      <c r="M299" s="17">
        <f t="shared" si="1352"/>
        <v>-0.34782608695652173</v>
      </c>
      <c r="N299" s="17">
        <f t="shared" si="1348"/>
        <v>-0.21052631578947367</v>
      </c>
      <c r="Q299" s="118">
        <v>90700</v>
      </c>
      <c r="R299" s="15">
        <v>68676</v>
      </c>
      <c r="S299" s="118">
        <v>100500</v>
      </c>
      <c r="T299" s="15">
        <f t="shared" si="1442"/>
        <v>9800</v>
      </c>
      <c r="U299" s="16">
        <f t="shared" si="1443"/>
        <v>0.10804851157662632</v>
      </c>
      <c r="V299" s="141">
        <v>89000</v>
      </c>
      <c r="W299">
        <v>-5700</v>
      </c>
      <c r="X299">
        <v>-50000</v>
      </c>
      <c r="Y299" s="118">
        <v>100500</v>
      </c>
      <c r="AA299" s="118">
        <v>130000</v>
      </c>
      <c r="AB299" s="185">
        <f t="shared" si="1355"/>
        <v>29500</v>
      </c>
      <c r="AC299" s="187">
        <f t="shared" si="1356"/>
        <v>29500</v>
      </c>
      <c r="AD299" s="187"/>
      <c r="AE299" s="118">
        <v>130000</v>
      </c>
      <c r="AF299" s="182"/>
      <c r="AH299" s="15">
        <v>114240.16</v>
      </c>
      <c r="AI299" s="17">
        <f t="shared" si="1420"/>
        <v>0.87877046153846161</v>
      </c>
      <c r="AK299" s="118">
        <v>120000</v>
      </c>
      <c r="AR299" s="15"/>
      <c r="AS299" s="15">
        <f t="shared" si="1357"/>
        <v>120000</v>
      </c>
      <c r="AV299" s="15">
        <f t="shared" si="1358"/>
        <v>120000</v>
      </c>
      <c r="AX299" s="15"/>
      <c r="AY299" s="15">
        <f t="shared" si="1359"/>
        <v>120000</v>
      </c>
      <c r="BB299" s="15">
        <f t="shared" si="1360"/>
        <v>120000</v>
      </c>
      <c r="BD299" s="15">
        <v>120000</v>
      </c>
      <c r="BE299" s="15">
        <f t="shared" si="1361"/>
        <v>240000</v>
      </c>
      <c r="BG299" s="15">
        <v>-134200</v>
      </c>
      <c r="BH299" s="15">
        <f t="shared" si="1362"/>
        <v>105800</v>
      </c>
      <c r="BJ299" s="15">
        <v>78030.95</v>
      </c>
      <c r="BK299" s="235">
        <f t="shared" si="1421"/>
        <v>0.73753260869565218</v>
      </c>
      <c r="BM299" s="15">
        <v>70000</v>
      </c>
      <c r="BN299" s="235">
        <f t="shared" si="1416"/>
        <v>0.89707994071583141</v>
      </c>
      <c r="BO299" s="235">
        <f t="shared" si="1417"/>
        <v>0.66162570888468808</v>
      </c>
      <c r="BQ299" s="15"/>
      <c r="BR299" s="15">
        <f t="shared" si="1418"/>
        <v>70000</v>
      </c>
      <c r="BT299" s="15"/>
      <c r="BU299" s="15">
        <f t="shared" si="1367"/>
        <v>70000</v>
      </c>
      <c r="BW299" s="15">
        <v>20000</v>
      </c>
      <c r="BX299" s="15">
        <f t="shared" si="1368"/>
        <v>90000</v>
      </c>
      <c r="BZ299" s="15"/>
      <c r="CA299" s="15">
        <f t="shared" si="1369"/>
        <v>90000</v>
      </c>
      <c r="CC299" s="15"/>
      <c r="CD299" s="15">
        <f t="shared" si="1370"/>
        <v>90000</v>
      </c>
      <c r="CF299" s="15">
        <v>10000</v>
      </c>
      <c r="CG299" s="15">
        <f t="shared" si="1371"/>
        <v>100000</v>
      </c>
      <c r="CH299">
        <v>16832.72</v>
      </c>
      <c r="CI299" s="227">
        <v>30000</v>
      </c>
      <c r="CJ299" s="15">
        <f t="shared" si="1372"/>
        <v>130000</v>
      </c>
      <c r="CL299" s="15">
        <v>-1000</v>
      </c>
      <c r="CM299" s="15">
        <f t="shared" si="1373"/>
        <v>129000</v>
      </c>
      <c r="CP299" s="15">
        <f t="shared" si="1374"/>
        <v>129000</v>
      </c>
      <c r="CS299" s="15">
        <f t="shared" si="1375"/>
        <v>129000</v>
      </c>
      <c r="CV299" s="15">
        <f t="shared" si="1376"/>
        <v>129000</v>
      </c>
      <c r="CY299" s="15">
        <f t="shared" si="1377"/>
        <v>129000</v>
      </c>
      <c r="DA299" s="15">
        <v>126778.92</v>
      </c>
      <c r="DC299" s="15">
        <v>100000</v>
      </c>
      <c r="DE299" s="15"/>
      <c r="DF299" s="15">
        <f t="shared" si="1378"/>
        <v>100000</v>
      </c>
      <c r="DH299" s="15"/>
      <c r="DI299" s="15">
        <f t="shared" si="1379"/>
        <v>100000</v>
      </c>
      <c r="DK299" s="15"/>
      <c r="DL299" s="15">
        <f t="shared" si="1380"/>
        <v>100000</v>
      </c>
      <c r="DN299" s="15"/>
      <c r="DO299" s="15">
        <f t="shared" si="1381"/>
        <v>100000</v>
      </c>
      <c r="DQ299" s="15"/>
      <c r="DR299" s="15">
        <f t="shared" si="1382"/>
        <v>100000</v>
      </c>
      <c r="DT299" s="15"/>
      <c r="DU299" s="15">
        <f t="shared" si="1383"/>
        <v>100000</v>
      </c>
      <c r="DW299" s="15"/>
      <c r="DX299" s="15">
        <f t="shared" si="1384"/>
        <v>100000</v>
      </c>
      <c r="DZ299" s="15"/>
      <c r="EA299" s="15">
        <f t="shared" si="1385"/>
        <v>100000</v>
      </c>
      <c r="EC299" s="15"/>
      <c r="ED299" s="15">
        <f t="shared" si="1386"/>
        <v>100000</v>
      </c>
      <c r="EF299" s="15"/>
      <c r="EG299" s="15">
        <f t="shared" si="1419"/>
        <v>100000</v>
      </c>
      <c r="EI299" s="15">
        <v>93111.95</v>
      </c>
      <c r="EK299" s="15">
        <v>73000</v>
      </c>
      <c r="EM299" s="15"/>
      <c r="EN299" s="15">
        <f t="shared" si="1422"/>
        <v>73000</v>
      </c>
      <c r="EP299" s="15"/>
      <c r="EQ299" s="15">
        <f t="shared" si="1423"/>
        <v>73000</v>
      </c>
      <c r="ES299" s="15"/>
      <c r="ET299" s="15">
        <f t="shared" si="1424"/>
        <v>73000</v>
      </c>
      <c r="EW299" s="15">
        <f t="shared" si="1425"/>
        <v>73000</v>
      </c>
      <c r="EZ299" s="15">
        <f t="shared" si="1426"/>
        <v>73000</v>
      </c>
      <c r="FC299" s="15">
        <f t="shared" si="1427"/>
        <v>73000</v>
      </c>
      <c r="FF299" s="15">
        <f t="shared" si="1428"/>
        <v>73000</v>
      </c>
      <c r="FI299" s="15">
        <f t="shared" si="1429"/>
        <v>73000</v>
      </c>
      <c r="FL299" s="15">
        <f t="shared" si="1430"/>
        <v>73000</v>
      </c>
      <c r="FO299" s="15">
        <f t="shared" si="1431"/>
        <v>73000</v>
      </c>
      <c r="FQ299" s="227">
        <v>1430</v>
      </c>
      <c r="FR299" s="15">
        <v>74430</v>
      </c>
      <c r="FT299" s="15">
        <v>74416.12</v>
      </c>
      <c r="FV299" s="15">
        <v>75000</v>
      </c>
      <c r="FW299" s="235">
        <f t="shared" si="1350"/>
        <v>1.0078461494633153</v>
      </c>
      <c r="FY299" s="227">
        <v>-17070</v>
      </c>
      <c r="FZ299" s="15">
        <f t="shared" si="1432"/>
        <v>57930</v>
      </c>
      <c r="GB299" s="15"/>
      <c r="GC299" s="15">
        <f t="shared" si="1433"/>
        <v>57930</v>
      </c>
      <c r="GE299" s="227">
        <v>17070</v>
      </c>
      <c r="GF299" s="15">
        <f t="shared" si="1434"/>
        <v>75000</v>
      </c>
      <c r="GH299" s="15"/>
      <c r="GI299" s="15">
        <f t="shared" si="1435"/>
        <v>75000</v>
      </c>
      <c r="GK299" s="227">
        <v>-6000</v>
      </c>
      <c r="GL299" s="15">
        <f t="shared" si="1436"/>
        <v>69000</v>
      </c>
      <c r="GN299" s="15"/>
      <c r="GO299" s="15">
        <f t="shared" si="1437"/>
        <v>69000</v>
      </c>
      <c r="GQ299" s="15"/>
      <c r="GR299" s="15">
        <f t="shared" si="1438"/>
        <v>69000</v>
      </c>
      <c r="GT299" s="15"/>
      <c r="GU299" s="15">
        <f t="shared" si="1439"/>
        <v>69000</v>
      </c>
      <c r="GW299" s="15"/>
      <c r="GX299" s="15">
        <f t="shared" si="1440"/>
        <v>69000</v>
      </c>
      <c r="GZ299" s="15"/>
      <c r="HA299" s="189">
        <f t="shared" si="1441"/>
        <v>69000</v>
      </c>
      <c r="HC299" s="189">
        <v>56305.58</v>
      </c>
      <c r="HE299" s="15">
        <v>60000</v>
      </c>
      <c r="HF299" s="235">
        <f t="shared" si="1351"/>
        <v>1.0656137455648267</v>
      </c>
    </row>
    <row r="300" spans="1:214" outlineLevel="1">
      <c r="A300" s="1" t="s">
        <v>76</v>
      </c>
      <c r="B300" s="1" t="s">
        <v>117</v>
      </c>
      <c r="C300" s="4" t="s">
        <v>118</v>
      </c>
      <c r="D300" s="43">
        <v>180000</v>
      </c>
      <c r="E300" s="34">
        <v>0.11</v>
      </c>
      <c r="F300" s="43">
        <v>180000</v>
      </c>
      <c r="G300" s="34">
        <v>0.11</v>
      </c>
      <c r="H300" s="46">
        <v>199</v>
      </c>
      <c r="I300" s="36">
        <v>199</v>
      </c>
      <c r="J300" s="14"/>
      <c r="L300" s="118">
        <v>10000</v>
      </c>
      <c r="M300" s="17">
        <f t="shared" si="1352"/>
        <v>-0.94444444444444442</v>
      </c>
      <c r="N300" s="17">
        <f t="shared" si="1348"/>
        <v>49.251256281407038</v>
      </c>
      <c r="Q300" s="118">
        <v>24600</v>
      </c>
      <c r="R300" s="15">
        <v>21766</v>
      </c>
      <c r="S300" s="118">
        <v>50000</v>
      </c>
      <c r="T300" s="15">
        <f t="shared" si="1442"/>
        <v>25400</v>
      </c>
      <c r="U300" s="16">
        <f t="shared" si="1443"/>
        <v>1.0325203252032522</v>
      </c>
      <c r="V300" s="140">
        <v>30000</v>
      </c>
      <c r="W300">
        <v>20000</v>
      </c>
      <c r="Y300" s="118">
        <v>50000</v>
      </c>
      <c r="AA300" s="118">
        <v>60000</v>
      </c>
      <c r="AB300" s="185">
        <f t="shared" si="1355"/>
        <v>10000</v>
      </c>
      <c r="AC300" s="187">
        <f t="shared" si="1356"/>
        <v>10000</v>
      </c>
      <c r="AD300" s="187"/>
      <c r="AE300" s="118">
        <v>60000</v>
      </c>
      <c r="AF300" s="182"/>
      <c r="AH300" s="15">
        <v>55195.06</v>
      </c>
      <c r="AI300" s="17">
        <f t="shared" si="1420"/>
        <v>0.91991766666666663</v>
      </c>
      <c r="AK300" s="118">
        <v>60500</v>
      </c>
      <c r="AR300" s="15"/>
      <c r="AS300" s="15">
        <f t="shared" si="1357"/>
        <v>60500</v>
      </c>
      <c r="AV300" s="15">
        <f t="shared" si="1358"/>
        <v>60500</v>
      </c>
      <c r="AX300" s="15"/>
      <c r="AY300" s="15">
        <f t="shared" si="1359"/>
        <v>60500</v>
      </c>
      <c r="BB300" s="15">
        <f t="shared" si="1360"/>
        <v>60500</v>
      </c>
      <c r="BD300" s="15">
        <v>-15000</v>
      </c>
      <c r="BE300" s="15">
        <f t="shared" si="1361"/>
        <v>45500</v>
      </c>
      <c r="BG300" s="15"/>
      <c r="BH300" s="15">
        <f t="shared" si="1362"/>
        <v>45500</v>
      </c>
      <c r="BJ300" s="15">
        <v>45051.06</v>
      </c>
      <c r="BK300" s="235">
        <f t="shared" si="1421"/>
        <v>0.99013318681318674</v>
      </c>
      <c r="BM300" s="15">
        <v>40000</v>
      </c>
      <c r="BN300" s="235">
        <f t="shared" si="1416"/>
        <v>0.88788143941563202</v>
      </c>
      <c r="BO300" s="235">
        <f t="shared" si="1417"/>
        <v>0.87912087912087911</v>
      </c>
      <c r="BQ300" s="15"/>
      <c r="BR300" s="15">
        <f t="shared" ref="BR300:BR306" si="1450">BM300+BQ300</f>
        <v>40000</v>
      </c>
      <c r="BT300" s="15"/>
      <c r="BU300" s="15">
        <f t="shared" si="1367"/>
        <v>40000</v>
      </c>
      <c r="BW300" s="15"/>
      <c r="BX300" s="15">
        <f t="shared" si="1368"/>
        <v>40000</v>
      </c>
      <c r="BZ300" s="15"/>
      <c r="CA300" s="15">
        <f t="shared" si="1369"/>
        <v>40000</v>
      </c>
      <c r="CC300" s="15"/>
      <c r="CD300" s="15">
        <f t="shared" si="1370"/>
        <v>40000</v>
      </c>
      <c r="CF300" s="15"/>
      <c r="CG300" s="15">
        <f t="shared" si="1371"/>
        <v>40000</v>
      </c>
      <c r="CI300" s="15"/>
      <c r="CJ300" s="15">
        <f t="shared" si="1372"/>
        <v>40000</v>
      </c>
      <c r="CM300" s="15">
        <f t="shared" si="1373"/>
        <v>40000</v>
      </c>
      <c r="CP300" s="15">
        <f t="shared" si="1374"/>
        <v>40000</v>
      </c>
      <c r="CS300" s="15">
        <f t="shared" si="1375"/>
        <v>40000</v>
      </c>
      <c r="CU300" s="227">
        <v>12000</v>
      </c>
      <c r="CV300" s="15">
        <f t="shared" si="1376"/>
        <v>52000</v>
      </c>
      <c r="CX300" s="227"/>
      <c r="CY300" s="15">
        <f t="shared" si="1377"/>
        <v>52000</v>
      </c>
      <c r="DA300" s="15">
        <v>51777.52</v>
      </c>
      <c r="DC300" s="15">
        <v>50000</v>
      </c>
      <c r="DE300" s="15"/>
      <c r="DF300" s="15">
        <f t="shared" si="1378"/>
        <v>50000</v>
      </c>
      <c r="DH300" s="15"/>
      <c r="DI300" s="15">
        <f t="shared" si="1379"/>
        <v>50000</v>
      </c>
      <c r="DK300" s="15"/>
      <c r="DL300" s="15">
        <f t="shared" si="1380"/>
        <v>50000</v>
      </c>
      <c r="DN300" s="227">
        <v>-8000</v>
      </c>
      <c r="DO300" s="15">
        <f t="shared" si="1381"/>
        <v>42000</v>
      </c>
      <c r="DQ300" s="15"/>
      <c r="DR300" s="15">
        <f t="shared" si="1382"/>
        <v>42000</v>
      </c>
      <c r="DT300" s="15"/>
      <c r="DU300" s="15">
        <f t="shared" si="1383"/>
        <v>42000</v>
      </c>
      <c r="DW300" s="15"/>
      <c r="DX300" s="15">
        <f t="shared" si="1384"/>
        <v>42000</v>
      </c>
      <c r="DZ300" s="227">
        <v>2000</v>
      </c>
      <c r="EA300" s="15">
        <f t="shared" si="1385"/>
        <v>44000</v>
      </c>
      <c r="EC300" s="227">
        <v>15000</v>
      </c>
      <c r="ED300" s="15">
        <f t="shared" si="1386"/>
        <v>59000</v>
      </c>
      <c r="EF300" s="227">
        <v>22980</v>
      </c>
      <c r="EG300" s="15">
        <f t="shared" si="1419"/>
        <v>81980</v>
      </c>
      <c r="EI300" s="15">
        <v>81367.87</v>
      </c>
      <c r="EK300" s="15">
        <v>60000</v>
      </c>
      <c r="EM300" s="15"/>
      <c r="EN300" s="15">
        <f t="shared" si="1422"/>
        <v>60000</v>
      </c>
      <c r="EP300" s="15"/>
      <c r="EQ300" s="15">
        <f t="shared" si="1423"/>
        <v>60000</v>
      </c>
      <c r="ES300" s="15"/>
      <c r="ET300" s="15">
        <f t="shared" si="1424"/>
        <v>60000</v>
      </c>
      <c r="EW300" s="15">
        <f t="shared" si="1425"/>
        <v>60000</v>
      </c>
      <c r="EY300" s="227">
        <v>-10200</v>
      </c>
      <c r="EZ300" s="15">
        <f t="shared" si="1426"/>
        <v>49800</v>
      </c>
      <c r="FB300" s="227">
        <v>-15000</v>
      </c>
      <c r="FC300" s="15">
        <f t="shared" si="1427"/>
        <v>34800</v>
      </c>
      <c r="FF300" s="15">
        <f t="shared" si="1428"/>
        <v>34800</v>
      </c>
      <c r="FI300" s="15">
        <f t="shared" si="1429"/>
        <v>34800</v>
      </c>
      <c r="FK300" s="227">
        <v>38000</v>
      </c>
      <c r="FL300" s="15">
        <f t="shared" si="1430"/>
        <v>72800</v>
      </c>
      <c r="FO300" s="15">
        <f t="shared" si="1431"/>
        <v>72800</v>
      </c>
      <c r="FQ300" s="227">
        <v>560</v>
      </c>
      <c r="FR300" s="15">
        <v>73360</v>
      </c>
      <c r="FT300" s="15">
        <v>73355.58</v>
      </c>
      <c r="FV300" s="15">
        <v>75000</v>
      </c>
      <c r="FW300" s="235">
        <f t="shared" si="1350"/>
        <v>1.0224171085553411</v>
      </c>
      <c r="FZ300" s="15">
        <f t="shared" si="1432"/>
        <v>75000</v>
      </c>
      <c r="GB300" s="15"/>
      <c r="GC300" s="15">
        <f t="shared" si="1433"/>
        <v>75000</v>
      </c>
      <c r="GE300" s="15"/>
      <c r="GF300" s="15">
        <f t="shared" si="1434"/>
        <v>75000</v>
      </c>
      <c r="GH300" s="227">
        <v>-8000</v>
      </c>
      <c r="GI300" s="15">
        <f t="shared" si="1435"/>
        <v>67000</v>
      </c>
      <c r="GK300" s="15"/>
      <c r="GL300" s="15">
        <f t="shared" si="1436"/>
        <v>67000</v>
      </c>
      <c r="GN300" s="15"/>
      <c r="GO300" s="15">
        <f t="shared" si="1437"/>
        <v>67000</v>
      </c>
      <c r="GQ300" s="15"/>
      <c r="GR300" s="15">
        <f t="shared" si="1438"/>
        <v>67000</v>
      </c>
      <c r="GT300" s="15"/>
      <c r="GU300" s="15">
        <f t="shared" si="1439"/>
        <v>67000</v>
      </c>
      <c r="GW300" s="227">
        <v>-4200</v>
      </c>
      <c r="GX300" s="15">
        <f t="shared" si="1440"/>
        <v>62800</v>
      </c>
      <c r="GZ300" s="15"/>
      <c r="HA300" s="189">
        <f t="shared" si="1441"/>
        <v>62800</v>
      </c>
      <c r="HC300" s="189">
        <v>44009.32</v>
      </c>
      <c r="HE300" s="15">
        <v>50000</v>
      </c>
      <c r="HF300" s="235">
        <f t="shared" si="1351"/>
        <v>1.1361229848586618</v>
      </c>
    </row>
    <row r="301" spans="1:214" outlineLevel="1">
      <c r="A301" s="1" t="s">
        <v>76</v>
      </c>
      <c r="B301" s="1" t="s">
        <v>231</v>
      </c>
      <c r="C301" s="4" t="s">
        <v>232</v>
      </c>
      <c r="D301" s="43">
        <v>55200</v>
      </c>
      <c r="E301" s="34">
        <v>29.93</v>
      </c>
      <c r="F301" s="43">
        <v>55200</v>
      </c>
      <c r="G301" s="34">
        <v>29.93</v>
      </c>
      <c r="H301" s="46">
        <v>16523</v>
      </c>
      <c r="I301" s="15">
        <v>32000</v>
      </c>
      <c r="K301" t="s">
        <v>332</v>
      </c>
      <c r="L301" s="118">
        <v>20000</v>
      </c>
      <c r="M301" s="17">
        <f t="shared" si="1352"/>
        <v>-0.6376811594202898</v>
      </c>
      <c r="N301" s="17">
        <f t="shared" si="1348"/>
        <v>-0.375</v>
      </c>
      <c r="Q301" s="118">
        <v>20000</v>
      </c>
      <c r="R301" s="15">
        <v>6643</v>
      </c>
      <c r="S301" s="118">
        <v>17000</v>
      </c>
      <c r="T301" s="15">
        <f t="shared" si="1442"/>
        <v>-3000</v>
      </c>
      <c r="U301" s="16">
        <f t="shared" si="1443"/>
        <v>-0.15000000000000002</v>
      </c>
      <c r="Y301" s="118">
        <v>17000</v>
      </c>
      <c r="AA301" s="118">
        <v>29000</v>
      </c>
      <c r="AB301" s="185">
        <f t="shared" si="1355"/>
        <v>12000</v>
      </c>
      <c r="AC301" s="187">
        <f t="shared" si="1356"/>
        <v>12000</v>
      </c>
      <c r="AD301" s="187"/>
      <c r="AE301" s="118">
        <v>29000</v>
      </c>
      <c r="AF301" s="182"/>
      <c r="AH301" s="15">
        <v>28695</v>
      </c>
      <c r="AI301" s="17">
        <f t="shared" si="1420"/>
        <v>0.98948275862068968</v>
      </c>
      <c r="AK301" s="118">
        <v>13000</v>
      </c>
      <c r="AP301" s="220">
        <v>13000</v>
      </c>
      <c r="AR301" s="15"/>
      <c r="AS301" s="15">
        <f t="shared" si="1357"/>
        <v>13000</v>
      </c>
      <c r="AV301" s="15">
        <f t="shared" si="1358"/>
        <v>13000</v>
      </c>
      <c r="AX301" s="15"/>
      <c r="AY301" s="15">
        <f t="shared" si="1359"/>
        <v>13000</v>
      </c>
      <c r="BA301" s="227">
        <v>2000</v>
      </c>
      <c r="BB301" s="15">
        <f t="shared" si="1360"/>
        <v>15000</v>
      </c>
      <c r="BD301" s="15"/>
      <c r="BE301" s="15">
        <f t="shared" si="1361"/>
        <v>15000</v>
      </c>
      <c r="BG301" s="15"/>
      <c r="BH301" s="15">
        <f t="shared" si="1362"/>
        <v>15000</v>
      </c>
      <c r="BJ301" s="15">
        <v>14038.9</v>
      </c>
      <c r="BK301" s="235">
        <f t="shared" si="1421"/>
        <v>0.93592666666666668</v>
      </c>
      <c r="BM301" s="15">
        <v>15000</v>
      </c>
      <c r="BN301" s="235">
        <f t="shared" si="1416"/>
        <v>1.0684597796123627</v>
      </c>
      <c r="BO301" s="235">
        <f t="shared" si="1417"/>
        <v>1</v>
      </c>
      <c r="BQ301" s="15"/>
      <c r="BR301" s="15">
        <f t="shared" si="1450"/>
        <v>15000</v>
      </c>
      <c r="BT301" s="15"/>
      <c r="BU301" s="15">
        <f t="shared" si="1367"/>
        <v>15000</v>
      </c>
      <c r="BW301" s="15"/>
      <c r="BX301" s="15">
        <f t="shared" si="1368"/>
        <v>15000</v>
      </c>
      <c r="BZ301" s="15"/>
      <c r="CA301" s="15">
        <f t="shared" si="1369"/>
        <v>15000</v>
      </c>
      <c r="CC301" s="15"/>
      <c r="CD301" s="15">
        <f t="shared" si="1370"/>
        <v>15000</v>
      </c>
      <c r="CF301" s="15"/>
      <c r="CG301" s="15">
        <f t="shared" si="1371"/>
        <v>15000</v>
      </c>
      <c r="CI301" s="227">
        <v>-5000</v>
      </c>
      <c r="CJ301" s="15">
        <f t="shared" si="1372"/>
        <v>10000</v>
      </c>
      <c r="CM301" s="15">
        <f t="shared" si="1373"/>
        <v>10000</v>
      </c>
      <c r="CP301" s="15">
        <f t="shared" si="1374"/>
        <v>10000</v>
      </c>
      <c r="CS301" s="15">
        <f t="shared" si="1375"/>
        <v>10000</v>
      </c>
      <c r="CU301" s="227">
        <v>-10000</v>
      </c>
      <c r="CV301" s="15">
        <f t="shared" si="1376"/>
        <v>0</v>
      </c>
      <c r="CX301" s="227"/>
      <c r="CY301" s="15">
        <f t="shared" si="1377"/>
        <v>0</v>
      </c>
      <c r="DA301" s="15">
        <v>0</v>
      </c>
      <c r="DC301" s="15">
        <v>0</v>
      </c>
      <c r="DE301" s="15"/>
      <c r="DF301" s="15">
        <f t="shared" si="1378"/>
        <v>0</v>
      </c>
      <c r="DH301" s="15"/>
      <c r="DI301" s="15">
        <f t="shared" si="1379"/>
        <v>0</v>
      </c>
      <c r="DK301" s="15"/>
      <c r="DL301" s="15">
        <f t="shared" si="1380"/>
        <v>0</v>
      </c>
      <c r="DN301" s="15"/>
      <c r="DO301" s="15">
        <f t="shared" si="1381"/>
        <v>0</v>
      </c>
      <c r="DQ301" s="15"/>
      <c r="DR301" s="15">
        <f t="shared" si="1382"/>
        <v>0</v>
      </c>
      <c r="DT301" s="15"/>
      <c r="DU301" s="15">
        <f t="shared" si="1383"/>
        <v>0</v>
      </c>
      <c r="DW301" s="227">
        <v>2100</v>
      </c>
      <c r="DX301" s="15">
        <f t="shared" si="1384"/>
        <v>2100</v>
      </c>
      <c r="DZ301" s="15"/>
      <c r="EA301" s="15">
        <f t="shared" si="1385"/>
        <v>2100</v>
      </c>
      <c r="EC301" s="15"/>
      <c r="ED301" s="15">
        <f t="shared" si="1386"/>
        <v>2100</v>
      </c>
      <c r="EF301" s="15"/>
      <c r="EG301" s="15">
        <f t="shared" si="1419"/>
        <v>2100</v>
      </c>
      <c r="EI301" s="15">
        <v>2007</v>
      </c>
      <c r="EK301" s="15">
        <v>0</v>
      </c>
      <c r="EM301" s="15"/>
      <c r="EN301" s="15">
        <f t="shared" si="1422"/>
        <v>0</v>
      </c>
      <c r="EP301" s="15"/>
      <c r="EQ301" s="15">
        <f t="shared" si="1423"/>
        <v>0</v>
      </c>
      <c r="ES301" s="15"/>
      <c r="ET301" s="15">
        <f t="shared" si="1424"/>
        <v>0</v>
      </c>
      <c r="EW301" s="15">
        <f t="shared" si="1425"/>
        <v>0</v>
      </c>
      <c r="EZ301" s="15">
        <f t="shared" si="1426"/>
        <v>0</v>
      </c>
      <c r="FC301" s="15">
        <f t="shared" si="1427"/>
        <v>0</v>
      </c>
      <c r="FF301" s="15">
        <f t="shared" si="1428"/>
        <v>0</v>
      </c>
      <c r="FI301" s="15">
        <f t="shared" si="1429"/>
        <v>0</v>
      </c>
      <c r="FL301" s="15">
        <f t="shared" si="1430"/>
        <v>0</v>
      </c>
      <c r="FO301" s="15">
        <f t="shared" si="1431"/>
        <v>0</v>
      </c>
      <c r="FR301" s="15">
        <v>0</v>
      </c>
      <c r="FW301" s="235" t="e">
        <f t="shared" si="1350"/>
        <v>#DIV/0!</v>
      </c>
      <c r="FZ301" s="15">
        <f t="shared" si="1432"/>
        <v>0</v>
      </c>
      <c r="GB301" s="15"/>
      <c r="GC301" s="15">
        <f t="shared" si="1433"/>
        <v>0</v>
      </c>
      <c r="GE301" s="15"/>
      <c r="GF301" s="15">
        <f t="shared" si="1434"/>
        <v>0</v>
      </c>
      <c r="GH301" s="15"/>
      <c r="GI301" s="15">
        <f t="shared" si="1435"/>
        <v>0</v>
      </c>
      <c r="GK301" s="15"/>
      <c r="GL301" s="15">
        <f t="shared" si="1436"/>
        <v>0</v>
      </c>
      <c r="GN301" s="227">
        <v>2300</v>
      </c>
      <c r="GO301" s="15">
        <f t="shared" si="1437"/>
        <v>2300</v>
      </c>
      <c r="GQ301" s="15"/>
      <c r="GR301" s="15">
        <f t="shared" si="1438"/>
        <v>2300</v>
      </c>
      <c r="GT301" s="227">
        <v>37400</v>
      </c>
      <c r="GU301" s="15">
        <f t="shared" si="1439"/>
        <v>39700</v>
      </c>
      <c r="GW301" s="15"/>
      <c r="GX301" s="15">
        <f t="shared" si="1440"/>
        <v>39700</v>
      </c>
      <c r="GZ301" s="15"/>
      <c r="HA301" s="189">
        <f t="shared" si="1441"/>
        <v>39700</v>
      </c>
      <c r="HC301" s="189">
        <v>39667</v>
      </c>
      <c r="HE301" s="15">
        <v>40000</v>
      </c>
      <c r="HF301" s="235">
        <f t="shared" si="1351"/>
        <v>1.0083948874379207</v>
      </c>
    </row>
    <row r="302" spans="1:214" outlineLevel="1">
      <c r="A302" s="1" t="s">
        <v>76</v>
      </c>
      <c r="B302" s="1" t="s">
        <v>206</v>
      </c>
      <c r="C302" s="4" t="s">
        <v>207</v>
      </c>
      <c r="D302" s="43">
        <v>15000</v>
      </c>
      <c r="E302" s="34">
        <v>121.93</v>
      </c>
      <c r="F302" s="43">
        <v>20000</v>
      </c>
      <c r="G302" s="34">
        <v>91.45</v>
      </c>
      <c r="H302" s="46">
        <v>18289</v>
      </c>
      <c r="I302" s="36">
        <v>20000</v>
      </c>
      <c r="J302" s="14"/>
      <c r="K302" t="s">
        <v>332</v>
      </c>
      <c r="L302" s="118">
        <v>22000</v>
      </c>
      <c r="M302" s="17">
        <f t="shared" si="1352"/>
        <v>0.10000000000000009</v>
      </c>
      <c r="N302" s="17">
        <f t="shared" si="1348"/>
        <v>0.10000000000000009</v>
      </c>
      <c r="Q302" s="118">
        <v>18410</v>
      </c>
      <c r="R302" s="15">
        <v>9324</v>
      </c>
      <c r="S302" s="118">
        <v>19000</v>
      </c>
      <c r="T302" s="15">
        <f t="shared" si="1442"/>
        <v>590</v>
      </c>
      <c r="U302" s="16">
        <f t="shared" si="1443"/>
        <v>3.2047800108636615E-2</v>
      </c>
      <c r="Y302" s="118">
        <v>19000</v>
      </c>
      <c r="AA302" s="118">
        <v>16500</v>
      </c>
      <c r="AB302" s="185">
        <f t="shared" si="1355"/>
        <v>-2500</v>
      </c>
      <c r="AC302" s="187">
        <f t="shared" si="1356"/>
        <v>-2500</v>
      </c>
      <c r="AD302" s="187"/>
      <c r="AE302" s="118">
        <v>16500</v>
      </c>
      <c r="AF302" s="182"/>
      <c r="AG302" t="s">
        <v>435</v>
      </c>
      <c r="AH302" s="15">
        <v>15149</v>
      </c>
      <c r="AI302" s="17">
        <f t="shared" si="1420"/>
        <v>0.91812121212121212</v>
      </c>
      <c r="AK302" s="118">
        <v>16000</v>
      </c>
      <c r="AR302" s="15"/>
      <c r="AS302" s="15">
        <f t="shared" si="1357"/>
        <v>16000</v>
      </c>
      <c r="AV302" s="15">
        <f t="shared" si="1358"/>
        <v>16000</v>
      </c>
      <c r="AX302" s="15"/>
      <c r="AY302" s="15">
        <f t="shared" si="1359"/>
        <v>16000</v>
      </c>
      <c r="BB302" s="15">
        <f t="shared" si="1360"/>
        <v>16000</v>
      </c>
      <c r="BD302" s="15">
        <v>-6000</v>
      </c>
      <c r="BE302" s="15">
        <f t="shared" si="1361"/>
        <v>10000</v>
      </c>
      <c r="BG302" s="15"/>
      <c r="BH302" s="15">
        <f t="shared" si="1362"/>
        <v>10000</v>
      </c>
      <c r="BJ302" s="15">
        <v>8691</v>
      </c>
      <c r="BK302" s="235">
        <f t="shared" si="1421"/>
        <v>0.86909999999999998</v>
      </c>
      <c r="BM302" s="15">
        <v>9000</v>
      </c>
      <c r="BN302" s="235">
        <f t="shared" si="1416"/>
        <v>1.0355540214014498</v>
      </c>
      <c r="BO302" s="235">
        <f t="shared" si="1417"/>
        <v>0.9</v>
      </c>
      <c r="BQ302" s="15"/>
      <c r="BR302" s="15">
        <f t="shared" si="1450"/>
        <v>9000</v>
      </c>
      <c r="BT302" s="15"/>
      <c r="BU302" s="15">
        <f t="shared" si="1367"/>
        <v>9000</v>
      </c>
      <c r="BW302" s="15">
        <v>6000</v>
      </c>
      <c r="BX302" s="15">
        <f t="shared" si="1368"/>
        <v>15000</v>
      </c>
      <c r="BZ302" s="15"/>
      <c r="CA302" s="15">
        <f t="shared" si="1369"/>
        <v>15000</v>
      </c>
      <c r="CC302" s="15"/>
      <c r="CD302" s="15">
        <f t="shared" si="1370"/>
        <v>15000</v>
      </c>
      <c r="CF302" s="15"/>
      <c r="CG302" s="15">
        <f t="shared" si="1371"/>
        <v>15000</v>
      </c>
      <c r="CI302" s="227">
        <v>5000</v>
      </c>
      <c r="CJ302" s="15">
        <f t="shared" si="1372"/>
        <v>20000</v>
      </c>
      <c r="CM302" s="15">
        <f t="shared" si="1373"/>
        <v>20000</v>
      </c>
      <c r="CP302" s="15">
        <f t="shared" si="1374"/>
        <v>20000</v>
      </c>
      <c r="CS302" s="15">
        <f t="shared" si="1375"/>
        <v>20000</v>
      </c>
      <c r="CV302" s="15">
        <f t="shared" si="1376"/>
        <v>20000</v>
      </c>
      <c r="CY302" s="15">
        <f t="shared" si="1377"/>
        <v>20000</v>
      </c>
      <c r="DA302" s="15">
        <v>18107</v>
      </c>
      <c r="DC302" s="15">
        <v>20000</v>
      </c>
      <c r="DE302" s="15"/>
      <c r="DF302" s="15">
        <f t="shared" si="1378"/>
        <v>20000</v>
      </c>
      <c r="DH302" s="15"/>
      <c r="DI302" s="15">
        <f t="shared" si="1379"/>
        <v>20000</v>
      </c>
      <c r="DK302" s="15"/>
      <c r="DL302" s="15">
        <f t="shared" si="1380"/>
        <v>20000</v>
      </c>
      <c r="DN302" s="15"/>
      <c r="DO302" s="15">
        <f t="shared" si="1381"/>
        <v>20000</v>
      </c>
      <c r="DQ302" s="15"/>
      <c r="DR302" s="15">
        <f t="shared" si="1382"/>
        <v>20000</v>
      </c>
      <c r="DT302" s="15"/>
      <c r="DU302" s="15">
        <f t="shared" si="1383"/>
        <v>20000</v>
      </c>
      <c r="DW302" s="15"/>
      <c r="DX302" s="15">
        <f t="shared" si="1384"/>
        <v>20000</v>
      </c>
      <c r="DZ302" s="15"/>
      <c r="EA302" s="15">
        <f t="shared" si="1385"/>
        <v>20000</v>
      </c>
      <c r="EC302" s="227">
        <v>-5000</v>
      </c>
      <c r="ED302" s="15">
        <f t="shared" si="1386"/>
        <v>15000</v>
      </c>
      <c r="EF302" s="15"/>
      <c r="EG302" s="15">
        <f t="shared" si="1419"/>
        <v>15000</v>
      </c>
      <c r="EI302" s="15">
        <v>14328</v>
      </c>
      <c r="EK302" s="15">
        <v>15000</v>
      </c>
      <c r="EM302" s="15"/>
      <c r="EN302" s="15">
        <f t="shared" si="1422"/>
        <v>15000</v>
      </c>
      <c r="EP302" s="15"/>
      <c r="EQ302" s="15">
        <f t="shared" si="1423"/>
        <v>15000</v>
      </c>
      <c r="ES302" s="15"/>
      <c r="ET302" s="15">
        <f t="shared" si="1424"/>
        <v>15000</v>
      </c>
      <c r="EW302" s="15">
        <f t="shared" si="1425"/>
        <v>15000</v>
      </c>
      <c r="EZ302" s="15">
        <f t="shared" si="1426"/>
        <v>15000</v>
      </c>
      <c r="FC302" s="15">
        <f t="shared" si="1427"/>
        <v>15000</v>
      </c>
      <c r="FF302" s="15">
        <f t="shared" si="1428"/>
        <v>15000</v>
      </c>
      <c r="FI302" s="15">
        <f t="shared" si="1429"/>
        <v>15000</v>
      </c>
      <c r="FL302" s="15">
        <f t="shared" si="1430"/>
        <v>15000</v>
      </c>
      <c r="FO302" s="15">
        <f t="shared" si="1431"/>
        <v>15000</v>
      </c>
      <c r="FR302" s="15">
        <v>15000</v>
      </c>
      <c r="FT302" s="15">
        <v>14881.6</v>
      </c>
      <c r="FV302" s="15">
        <v>15000</v>
      </c>
      <c r="FW302" s="235">
        <f t="shared" si="1350"/>
        <v>1.0079561337490592</v>
      </c>
      <c r="FZ302" s="15">
        <f t="shared" si="1432"/>
        <v>15000</v>
      </c>
      <c r="GB302" s="15"/>
      <c r="GC302" s="15">
        <f t="shared" si="1433"/>
        <v>15000</v>
      </c>
      <c r="GE302" s="15"/>
      <c r="GF302" s="15">
        <f t="shared" si="1434"/>
        <v>15000</v>
      </c>
      <c r="GH302" s="15"/>
      <c r="GI302" s="15">
        <f t="shared" si="1435"/>
        <v>15000</v>
      </c>
      <c r="GK302" s="227">
        <v>-1500</v>
      </c>
      <c r="GL302" s="15">
        <f t="shared" si="1436"/>
        <v>13500</v>
      </c>
      <c r="GN302" s="15"/>
      <c r="GO302" s="15">
        <f t="shared" si="1437"/>
        <v>13500</v>
      </c>
      <c r="GQ302" s="227">
        <v>2500</v>
      </c>
      <c r="GR302" s="15">
        <f t="shared" si="1438"/>
        <v>16000</v>
      </c>
      <c r="GT302" s="15"/>
      <c r="GU302" s="15">
        <f t="shared" si="1439"/>
        <v>16000</v>
      </c>
      <c r="GW302" s="15"/>
      <c r="GX302" s="15">
        <f t="shared" si="1440"/>
        <v>16000</v>
      </c>
      <c r="GZ302" s="15"/>
      <c r="HA302" s="189">
        <f t="shared" si="1441"/>
        <v>16000</v>
      </c>
      <c r="HC302" s="189">
        <v>13214.2</v>
      </c>
      <c r="HE302" s="15">
        <v>15000</v>
      </c>
      <c r="HF302" s="235">
        <f t="shared" si="1351"/>
        <v>1.1351424982216101</v>
      </c>
    </row>
    <row r="303" spans="1:214" outlineLevel="1">
      <c r="A303" s="1" t="s">
        <v>76</v>
      </c>
      <c r="B303" s="1" t="s">
        <v>148</v>
      </c>
      <c r="C303" s="4" t="s">
        <v>149</v>
      </c>
      <c r="D303" s="43">
        <v>3000</v>
      </c>
      <c r="E303" s="34">
        <v>116.43</v>
      </c>
      <c r="F303" s="43">
        <v>3000</v>
      </c>
      <c r="G303" s="34">
        <v>116.43</v>
      </c>
      <c r="H303" s="46">
        <v>3493</v>
      </c>
      <c r="I303" s="36">
        <v>4000</v>
      </c>
      <c r="J303" s="14"/>
      <c r="L303" s="118">
        <v>4000</v>
      </c>
      <c r="M303" s="17">
        <f t="shared" si="1352"/>
        <v>0.33333333333333326</v>
      </c>
      <c r="N303" s="17">
        <f t="shared" si="1348"/>
        <v>0</v>
      </c>
      <c r="Q303" s="118">
        <v>4000</v>
      </c>
      <c r="R303" s="15">
        <v>2789</v>
      </c>
      <c r="S303" s="118">
        <v>7000</v>
      </c>
      <c r="T303" s="15">
        <f t="shared" si="1442"/>
        <v>3000</v>
      </c>
      <c r="U303" s="16">
        <f t="shared" si="1443"/>
        <v>0.75</v>
      </c>
      <c r="Y303" s="118">
        <v>7000</v>
      </c>
      <c r="AA303" s="118">
        <v>8000</v>
      </c>
      <c r="AB303" s="185">
        <f t="shared" si="1355"/>
        <v>1000</v>
      </c>
      <c r="AC303" s="187">
        <f t="shared" si="1356"/>
        <v>1000</v>
      </c>
      <c r="AD303" s="187"/>
      <c r="AE303" s="118">
        <v>8000</v>
      </c>
      <c r="AF303" s="182"/>
      <c r="AH303" s="15">
        <v>5038</v>
      </c>
      <c r="AI303" s="17">
        <f t="shared" si="1420"/>
        <v>0.62975000000000003</v>
      </c>
      <c r="AK303" s="118">
        <v>6000</v>
      </c>
      <c r="AR303" s="15"/>
      <c r="AS303" s="15">
        <f t="shared" si="1357"/>
        <v>6000</v>
      </c>
      <c r="AV303" s="15">
        <f t="shared" si="1358"/>
        <v>6000</v>
      </c>
      <c r="AX303" s="15"/>
      <c r="AY303" s="15">
        <f t="shared" si="1359"/>
        <v>6000</v>
      </c>
      <c r="BB303" s="15">
        <f t="shared" si="1360"/>
        <v>6000</v>
      </c>
      <c r="BD303" s="15"/>
      <c r="BE303" s="15">
        <f t="shared" si="1361"/>
        <v>6000</v>
      </c>
      <c r="BG303" s="15"/>
      <c r="BH303" s="15">
        <f t="shared" si="1362"/>
        <v>6000</v>
      </c>
      <c r="BJ303" s="15">
        <v>3598.4</v>
      </c>
      <c r="BK303" s="235">
        <f t="shared" si="1421"/>
        <v>0.59973333333333334</v>
      </c>
      <c r="BM303" s="15">
        <v>5000</v>
      </c>
      <c r="BN303" s="235">
        <f t="shared" si="1416"/>
        <v>1.3895064473099155</v>
      </c>
      <c r="BO303" s="235">
        <f t="shared" si="1417"/>
        <v>0.83333333333333337</v>
      </c>
      <c r="BQ303" s="15"/>
      <c r="BR303" s="15">
        <f t="shared" si="1450"/>
        <v>5000</v>
      </c>
      <c r="BT303" s="15"/>
      <c r="BU303" s="15">
        <f t="shared" si="1367"/>
        <v>5000</v>
      </c>
      <c r="BW303" s="15">
        <v>4000</v>
      </c>
      <c r="BX303" s="15">
        <f t="shared" si="1368"/>
        <v>9000</v>
      </c>
      <c r="BZ303" s="15"/>
      <c r="CA303" s="15">
        <f t="shared" si="1369"/>
        <v>9000</v>
      </c>
      <c r="CC303" s="15"/>
      <c r="CD303" s="15">
        <f t="shared" si="1370"/>
        <v>9000</v>
      </c>
      <c r="CF303" s="15">
        <v>10000</v>
      </c>
      <c r="CG303" s="15">
        <f t="shared" si="1371"/>
        <v>19000</v>
      </c>
      <c r="CI303" s="15"/>
      <c r="CJ303" s="15">
        <f t="shared" si="1372"/>
        <v>19000</v>
      </c>
      <c r="CM303" s="15">
        <f t="shared" si="1373"/>
        <v>19000</v>
      </c>
      <c r="CP303" s="15">
        <f t="shared" si="1374"/>
        <v>19000</v>
      </c>
      <c r="CS303" s="15">
        <f t="shared" si="1375"/>
        <v>19000</v>
      </c>
      <c r="CU303" s="227">
        <v>-2000</v>
      </c>
      <c r="CV303" s="15">
        <f t="shared" si="1376"/>
        <v>17000</v>
      </c>
      <c r="CX303" s="227"/>
      <c r="CY303" s="15">
        <f t="shared" si="1377"/>
        <v>17000</v>
      </c>
      <c r="DA303" s="15">
        <v>16512</v>
      </c>
      <c r="DC303" s="15">
        <v>20000</v>
      </c>
      <c r="DE303" s="15"/>
      <c r="DF303" s="15">
        <f t="shared" si="1378"/>
        <v>20000</v>
      </c>
      <c r="DH303" s="15"/>
      <c r="DI303" s="15">
        <f t="shared" si="1379"/>
        <v>20000</v>
      </c>
      <c r="DK303" s="15"/>
      <c r="DL303" s="15">
        <f t="shared" si="1380"/>
        <v>20000</v>
      </c>
      <c r="DN303" s="15"/>
      <c r="DO303" s="15">
        <f t="shared" si="1381"/>
        <v>20000</v>
      </c>
      <c r="DQ303" s="15"/>
      <c r="DR303" s="15">
        <f t="shared" si="1382"/>
        <v>20000</v>
      </c>
      <c r="DT303" s="15"/>
      <c r="DU303" s="15">
        <f t="shared" si="1383"/>
        <v>20000</v>
      </c>
      <c r="DW303" s="15"/>
      <c r="DX303" s="15">
        <f t="shared" si="1384"/>
        <v>20000</v>
      </c>
      <c r="DZ303" s="15"/>
      <c r="EA303" s="15">
        <f t="shared" si="1385"/>
        <v>20000</v>
      </c>
      <c r="EC303" s="15"/>
      <c r="ED303" s="15">
        <f t="shared" si="1386"/>
        <v>20000</v>
      </c>
      <c r="EF303" s="15"/>
      <c r="EG303" s="15">
        <f t="shared" si="1419"/>
        <v>20000</v>
      </c>
      <c r="EI303" s="15">
        <v>10421</v>
      </c>
      <c r="EK303" s="15">
        <v>12000</v>
      </c>
      <c r="EM303" s="15"/>
      <c r="EN303" s="15">
        <f t="shared" si="1422"/>
        <v>12000</v>
      </c>
      <c r="EP303" s="15"/>
      <c r="EQ303" s="15">
        <f t="shared" si="1423"/>
        <v>12000</v>
      </c>
      <c r="ES303" s="15"/>
      <c r="ET303" s="15">
        <f t="shared" si="1424"/>
        <v>12000</v>
      </c>
      <c r="EW303" s="15">
        <f t="shared" si="1425"/>
        <v>12000</v>
      </c>
      <c r="EZ303" s="15">
        <f t="shared" si="1426"/>
        <v>12000</v>
      </c>
      <c r="FC303" s="15">
        <f t="shared" si="1427"/>
        <v>12000</v>
      </c>
      <c r="FF303" s="15">
        <f t="shared" si="1428"/>
        <v>12000</v>
      </c>
      <c r="FI303" s="15">
        <f t="shared" si="1429"/>
        <v>12000</v>
      </c>
      <c r="FL303" s="15">
        <f t="shared" si="1430"/>
        <v>12000</v>
      </c>
      <c r="FO303" s="15">
        <f t="shared" si="1431"/>
        <v>12000</v>
      </c>
      <c r="FR303" s="15">
        <v>12000</v>
      </c>
      <c r="FT303" s="15">
        <v>11378.9</v>
      </c>
      <c r="FV303" s="15">
        <v>12000</v>
      </c>
      <c r="FW303" s="235">
        <f t="shared" si="1350"/>
        <v>1.0545834834650099</v>
      </c>
      <c r="FY303" s="227">
        <v>-1500</v>
      </c>
      <c r="FZ303" s="15">
        <f t="shared" si="1432"/>
        <v>10500</v>
      </c>
      <c r="GB303" s="15"/>
      <c r="GC303" s="15">
        <f t="shared" si="1433"/>
        <v>10500</v>
      </c>
      <c r="GE303" s="15"/>
      <c r="GF303" s="15">
        <f t="shared" si="1434"/>
        <v>10500</v>
      </c>
      <c r="GH303" s="227">
        <v>8000</v>
      </c>
      <c r="GI303" s="15">
        <f t="shared" si="1435"/>
        <v>18500</v>
      </c>
      <c r="GK303" s="15"/>
      <c r="GL303" s="15">
        <f t="shared" si="1436"/>
        <v>18500</v>
      </c>
      <c r="GN303" s="15"/>
      <c r="GO303" s="15">
        <f t="shared" si="1437"/>
        <v>18500</v>
      </c>
      <c r="GQ303" s="15"/>
      <c r="GR303" s="15">
        <f t="shared" si="1438"/>
        <v>18500</v>
      </c>
      <c r="GT303" s="15"/>
      <c r="GU303" s="15">
        <f t="shared" si="1439"/>
        <v>18500</v>
      </c>
      <c r="GW303" s="15"/>
      <c r="GX303" s="15">
        <f t="shared" si="1440"/>
        <v>18500</v>
      </c>
      <c r="GZ303" s="15"/>
      <c r="HA303" s="189">
        <f t="shared" si="1441"/>
        <v>18500</v>
      </c>
      <c r="HC303" s="189">
        <v>14068.7</v>
      </c>
      <c r="HE303" s="15">
        <v>16000</v>
      </c>
      <c r="HF303" s="235">
        <f t="shared" si="1351"/>
        <v>1.1372763652647366</v>
      </c>
    </row>
    <row r="304" spans="1:214" outlineLevel="1">
      <c r="A304" s="1" t="s">
        <v>76</v>
      </c>
      <c r="B304" s="1" t="s">
        <v>233</v>
      </c>
      <c r="C304" s="4" t="s">
        <v>234</v>
      </c>
      <c r="D304" s="43">
        <v>0</v>
      </c>
      <c r="E304" s="34">
        <v>0</v>
      </c>
      <c r="F304" s="43">
        <v>3750</v>
      </c>
      <c r="G304" s="34">
        <v>100</v>
      </c>
      <c r="H304" s="46">
        <v>3750</v>
      </c>
      <c r="I304" s="36">
        <v>3750</v>
      </c>
      <c r="J304" s="14"/>
      <c r="L304" s="118">
        <v>0</v>
      </c>
      <c r="M304" s="17">
        <f t="shared" si="1352"/>
        <v>-1</v>
      </c>
      <c r="N304" s="17">
        <f t="shared" si="1348"/>
        <v>-1</v>
      </c>
      <c r="U304" s="16"/>
      <c r="Y304" s="118"/>
      <c r="AA304" s="118">
        <v>0</v>
      </c>
      <c r="AB304" s="185">
        <f t="shared" si="1355"/>
        <v>0</v>
      </c>
      <c r="AC304" s="187">
        <f t="shared" si="1356"/>
        <v>0</v>
      </c>
      <c r="AD304" s="187"/>
      <c r="AE304" s="118">
        <v>0</v>
      </c>
      <c r="AF304" s="182"/>
      <c r="AH304" s="15">
        <v>0</v>
      </c>
      <c r="AI304" s="17" t="e">
        <f t="shared" si="1420"/>
        <v>#DIV/0!</v>
      </c>
      <c r="AR304" s="15"/>
      <c r="AS304" s="15">
        <f t="shared" si="1357"/>
        <v>0</v>
      </c>
      <c r="AV304" s="15">
        <f t="shared" si="1358"/>
        <v>0</v>
      </c>
      <c r="AX304" s="15"/>
      <c r="AY304" s="15">
        <f t="shared" si="1359"/>
        <v>0</v>
      </c>
      <c r="BB304" s="15">
        <f t="shared" si="1360"/>
        <v>0</v>
      </c>
      <c r="BD304" s="15"/>
      <c r="BE304" s="15">
        <f t="shared" si="1361"/>
        <v>0</v>
      </c>
      <c r="BG304" s="15"/>
      <c r="BH304" s="15">
        <f t="shared" si="1362"/>
        <v>0</v>
      </c>
      <c r="BJ304" s="15">
        <v>0</v>
      </c>
      <c r="BK304" s="235" t="e">
        <f t="shared" si="1421"/>
        <v>#DIV/0!</v>
      </c>
      <c r="BM304" s="15">
        <v>0</v>
      </c>
      <c r="BN304" s="235" t="e">
        <f t="shared" si="1416"/>
        <v>#DIV/0!</v>
      </c>
      <c r="BO304" s="235" t="e">
        <f t="shared" si="1417"/>
        <v>#DIV/0!</v>
      </c>
      <c r="BQ304" s="15"/>
      <c r="BR304" s="15">
        <f t="shared" si="1450"/>
        <v>0</v>
      </c>
      <c r="BT304" s="15"/>
      <c r="BU304" s="15">
        <f t="shared" si="1367"/>
        <v>0</v>
      </c>
      <c r="BW304" s="15"/>
      <c r="BX304" s="15">
        <f t="shared" si="1368"/>
        <v>0</v>
      </c>
      <c r="BZ304" s="15"/>
      <c r="CA304" s="15">
        <f t="shared" si="1369"/>
        <v>0</v>
      </c>
      <c r="CC304" s="15"/>
      <c r="CD304" s="15">
        <f t="shared" si="1370"/>
        <v>0</v>
      </c>
      <c r="CF304" s="15"/>
      <c r="CG304" s="15">
        <f t="shared" si="1371"/>
        <v>0</v>
      </c>
      <c r="CI304" s="15"/>
      <c r="CJ304" s="15">
        <f t="shared" si="1372"/>
        <v>0</v>
      </c>
      <c r="CM304" s="15">
        <f t="shared" si="1373"/>
        <v>0</v>
      </c>
      <c r="CP304" s="15">
        <f t="shared" si="1374"/>
        <v>0</v>
      </c>
      <c r="CS304" s="15">
        <f t="shared" si="1375"/>
        <v>0</v>
      </c>
      <c r="CV304" s="15">
        <f t="shared" si="1376"/>
        <v>0</v>
      </c>
      <c r="CY304" s="15">
        <f t="shared" si="1377"/>
        <v>0</v>
      </c>
      <c r="DA304" s="15">
        <v>0</v>
      </c>
      <c r="DE304" s="15"/>
      <c r="DF304" s="15">
        <f t="shared" si="1378"/>
        <v>0</v>
      </c>
      <c r="DH304" s="15"/>
      <c r="DI304" s="15">
        <f t="shared" si="1379"/>
        <v>0</v>
      </c>
      <c r="DK304" s="15"/>
      <c r="DL304" s="15">
        <f t="shared" si="1380"/>
        <v>0</v>
      </c>
      <c r="DN304" s="15"/>
      <c r="DO304" s="15">
        <f t="shared" si="1381"/>
        <v>0</v>
      </c>
      <c r="DQ304" s="15"/>
      <c r="DR304" s="15">
        <f t="shared" si="1382"/>
        <v>0</v>
      </c>
      <c r="DT304" s="15"/>
      <c r="DU304" s="15">
        <f t="shared" si="1383"/>
        <v>0</v>
      </c>
      <c r="DW304" s="15"/>
      <c r="DX304" s="15">
        <f t="shared" si="1384"/>
        <v>0</v>
      </c>
      <c r="DZ304" s="15"/>
      <c r="EA304" s="15">
        <f t="shared" si="1385"/>
        <v>0</v>
      </c>
      <c r="EC304" s="15"/>
      <c r="ED304" s="15">
        <f t="shared" si="1386"/>
        <v>0</v>
      </c>
      <c r="EF304" s="15"/>
      <c r="EG304" s="15">
        <f t="shared" si="1419"/>
        <v>0</v>
      </c>
      <c r="EK304" s="15"/>
      <c r="EM304" s="15"/>
      <c r="EN304" s="15">
        <f t="shared" si="1422"/>
        <v>0</v>
      </c>
      <c r="EP304" s="15"/>
      <c r="EQ304" s="15">
        <f t="shared" si="1423"/>
        <v>0</v>
      </c>
      <c r="ES304" s="15"/>
      <c r="ET304" s="15">
        <f t="shared" si="1424"/>
        <v>0</v>
      </c>
      <c r="EW304" s="15">
        <f t="shared" si="1425"/>
        <v>0</v>
      </c>
      <c r="EZ304" s="15">
        <f t="shared" si="1426"/>
        <v>0</v>
      </c>
      <c r="FC304" s="15">
        <f t="shared" si="1427"/>
        <v>0</v>
      </c>
      <c r="FF304" s="15">
        <f t="shared" si="1428"/>
        <v>0</v>
      </c>
      <c r="FI304" s="15">
        <f t="shared" si="1429"/>
        <v>0</v>
      </c>
      <c r="FL304" s="15">
        <f t="shared" si="1430"/>
        <v>0</v>
      </c>
      <c r="FO304" s="15">
        <f t="shared" si="1431"/>
        <v>0</v>
      </c>
      <c r="FR304" s="15">
        <v>0</v>
      </c>
      <c r="FW304" s="235" t="e">
        <f t="shared" si="1350"/>
        <v>#DIV/0!</v>
      </c>
      <c r="FZ304" s="15">
        <f t="shared" si="1432"/>
        <v>0</v>
      </c>
      <c r="GB304" s="15"/>
      <c r="GC304" s="15">
        <f t="shared" si="1433"/>
        <v>0</v>
      </c>
      <c r="GE304" s="15"/>
      <c r="GF304" s="15">
        <f t="shared" si="1434"/>
        <v>0</v>
      </c>
      <c r="GH304" s="15"/>
      <c r="GI304" s="15">
        <f t="shared" si="1435"/>
        <v>0</v>
      </c>
      <c r="GK304" s="15"/>
      <c r="GL304" s="15">
        <f t="shared" si="1436"/>
        <v>0</v>
      </c>
      <c r="GN304" s="15"/>
      <c r="GO304" s="15">
        <f t="shared" si="1437"/>
        <v>0</v>
      </c>
      <c r="GQ304" s="15"/>
      <c r="GR304" s="15">
        <f t="shared" si="1438"/>
        <v>0</v>
      </c>
      <c r="GT304" s="15"/>
      <c r="GU304" s="15">
        <f t="shared" si="1439"/>
        <v>0</v>
      </c>
      <c r="GW304" s="15"/>
      <c r="GX304" s="15">
        <f t="shared" si="1440"/>
        <v>0</v>
      </c>
      <c r="GZ304" s="15"/>
      <c r="HA304" s="189">
        <f t="shared" si="1441"/>
        <v>0</v>
      </c>
      <c r="HF304" s="235" t="e">
        <f t="shared" si="1351"/>
        <v>#DIV/0!</v>
      </c>
    </row>
    <row r="305" spans="1:214" outlineLevel="1">
      <c r="A305" s="1" t="s">
        <v>76</v>
      </c>
      <c r="B305" s="1" t="s">
        <v>150</v>
      </c>
      <c r="C305" s="4" t="s">
        <v>151</v>
      </c>
      <c r="D305" s="43">
        <v>2000</v>
      </c>
      <c r="E305" s="34">
        <v>56.6</v>
      </c>
      <c r="F305" s="43">
        <v>2000</v>
      </c>
      <c r="G305" s="34">
        <v>56.6</v>
      </c>
      <c r="H305" s="46">
        <v>1132</v>
      </c>
      <c r="I305" s="15">
        <v>1132</v>
      </c>
      <c r="L305" s="118">
        <v>2000</v>
      </c>
      <c r="M305" s="17">
        <f t="shared" si="1352"/>
        <v>0</v>
      </c>
      <c r="N305" s="17">
        <f t="shared" si="1348"/>
        <v>0.76678445229681969</v>
      </c>
      <c r="Q305" s="118">
        <v>2000</v>
      </c>
      <c r="R305" s="15">
        <v>1381</v>
      </c>
      <c r="S305" s="118">
        <v>2000</v>
      </c>
      <c r="T305" s="15">
        <f t="shared" si="1442"/>
        <v>0</v>
      </c>
      <c r="U305" s="16">
        <f t="shared" si="1443"/>
        <v>0</v>
      </c>
      <c r="Y305" s="118">
        <v>2000</v>
      </c>
      <c r="AA305" s="118">
        <v>2000</v>
      </c>
      <c r="AB305" s="185">
        <f t="shared" si="1355"/>
        <v>0</v>
      </c>
      <c r="AC305" s="187">
        <f t="shared" si="1356"/>
        <v>0</v>
      </c>
      <c r="AD305" s="187"/>
      <c r="AE305" s="118">
        <v>2000</v>
      </c>
      <c r="AF305" s="182"/>
      <c r="AH305" s="15">
        <v>1380.7</v>
      </c>
      <c r="AI305" s="17">
        <f t="shared" ref="AI305:AI309" si="1451">AH305/AE305</f>
        <v>0.69035000000000002</v>
      </c>
      <c r="AK305" s="118">
        <v>2000</v>
      </c>
      <c r="AR305" s="15"/>
      <c r="AS305" s="15">
        <f t="shared" si="1357"/>
        <v>2000</v>
      </c>
      <c r="AV305" s="15">
        <f t="shared" si="1358"/>
        <v>2000</v>
      </c>
      <c r="AX305" s="15"/>
      <c r="AY305" s="15">
        <f t="shared" si="1359"/>
        <v>2000</v>
      </c>
      <c r="BB305" s="15">
        <f t="shared" si="1360"/>
        <v>2000</v>
      </c>
      <c r="BD305" s="15"/>
      <c r="BE305" s="15">
        <f t="shared" si="1361"/>
        <v>2000</v>
      </c>
      <c r="BG305" s="15">
        <v>-2000</v>
      </c>
      <c r="BH305" s="15">
        <f t="shared" si="1362"/>
        <v>0</v>
      </c>
      <c r="BJ305" s="15">
        <v>0</v>
      </c>
      <c r="BK305" s="235" t="e">
        <f t="shared" si="1421"/>
        <v>#DIV/0!</v>
      </c>
      <c r="BM305" s="15">
        <v>2000</v>
      </c>
      <c r="BN305" s="235" t="e">
        <f t="shared" si="1416"/>
        <v>#DIV/0!</v>
      </c>
      <c r="BO305" s="235" t="e">
        <f t="shared" si="1417"/>
        <v>#DIV/0!</v>
      </c>
      <c r="BQ305" s="15"/>
      <c r="BR305" s="15">
        <f t="shared" si="1450"/>
        <v>2000</v>
      </c>
      <c r="BT305" s="15"/>
      <c r="BU305" s="15">
        <f t="shared" si="1367"/>
        <v>2000</v>
      </c>
      <c r="BW305" s="15"/>
      <c r="BX305" s="15">
        <f t="shared" si="1368"/>
        <v>2000</v>
      </c>
      <c r="BZ305" s="15"/>
      <c r="CA305" s="15">
        <f t="shared" si="1369"/>
        <v>2000</v>
      </c>
      <c r="CC305" s="15"/>
      <c r="CD305" s="15">
        <f t="shared" si="1370"/>
        <v>2000</v>
      </c>
      <c r="CF305" s="15"/>
      <c r="CG305" s="15">
        <f t="shared" si="1371"/>
        <v>2000</v>
      </c>
      <c r="CI305" s="15"/>
      <c r="CJ305" s="15">
        <f t="shared" si="1372"/>
        <v>2000</v>
      </c>
      <c r="CM305" s="15">
        <f t="shared" si="1373"/>
        <v>2000</v>
      </c>
      <c r="CP305" s="15">
        <f t="shared" si="1374"/>
        <v>2000</v>
      </c>
      <c r="CS305" s="15">
        <f t="shared" si="1375"/>
        <v>2000</v>
      </c>
      <c r="CU305" s="227">
        <v>-2000</v>
      </c>
      <c r="CV305" s="15">
        <f t="shared" si="1376"/>
        <v>0</v>
      </c>
      <c r="CX305" s="227"/>
      <c r="CY305" s="15">
        <f t="shared" si="1377"/>
        <v>0</v>
      </c>
      <c r="DA305" s="15">
        <v>0</v>
      </c>
      <c r="DE305" s="15"/>
      <c r="DF305" s="15">
        <f t="shared" si="1378"/>
        <v>0</v>
      </c>
      <c r="DH305" s="15"/>
      <c r="DI305" s="15">
        <f t="shared" si="1379"/>
        <v>0</v>
      </c>
      <c r="DK305" s="15"/>
      <c r="DL305" s="15">
        <f t="shared" si="1380"/>
        <v>0</v>
      </c>
      <c r="DN305" s="15"/>
      <c r="DO305" s="15">
        <f t="shared" si="1381"/>
        <v>0</v>
      </c>
      <c r="DQ305" s="15"/>
      <c r="DR305" s="15">
        <f t="shared" si="1382"/>
        <v>0</v>
      </c>
      <c r="DT305" s="15"/>
      <c r="DU305" s="15">
        <f t="shared" si="1383"/>
        <v>0</v>
      </c>
      <c r="DW305" s="15"/>
      <c r="DX305" s="15">
        <f t="shared" si="1384"/>
        <v>0</v>
      </c>
      <c r="DZ305" s="15"/>
      <c r="EA305" s="15">
        <f t="shared" si="1385"/>
        <v>0</v>
      </c>
      <c r="EC305" s="15"/>
      <c r="ED305" s="15">
        <f t="shared" si="1386"/>
        <v>0</v>
      </c>
      <c r="EF305" s="15"/>
      <c r="EG305" s="15">
        <f t="shared" si="1419"/>
        <v>0</v>
      </c>
      <c r="EK305" s="15"/>
      <c r="EM305" s="15"/>
      <c r="EN305" s="15">
        <f t="shared" si="1422"/>
        <v>0</v>
      </c>
      <c r="EP305" s="15"/>
      <c r="EQ305" s="15">
        <f t="shared" si="1423"/>
        <v>0</v>
      </c>
      <c r="ES305" s="15"/>
      <c r="ET305" s="15">
        <f t="shared" si="1424"/>
        <v>0</v>
      </c>
      <c r="EW305" s="15">
        <f t="shared" si="1425"/>
        <v>0</v>
      </c>
      <c r="EZ305" s="15">
        <f t="shared" si="1426"/>
        <v>0</v>
      </c>
      <c r="FC305" s="15">
        <f t="shared" si="1427"/>
        <v>0</v>
      </c>
      <c r="FF305" s="15">
        <f t="shared" si="1428"/>
        <v>0</v>
      </c>
      <c r="FI305" s="15">
        <f t="shared" si="1429"/>
        <v>0</v>
      </c>
      <c r="FL305" s="15">
        <f t="shared" si="1430"/>
        <v>0</v>
      </c>
      <c r="FO305" s="15">
        <f t="shared" si="1431"/>
        <v>0</v>
      </c>
      <c r="FR305" s="15">
        <v>0</v>
      </c>
      <c r="FW305" s="235" t="e">
        <f t="shared" si="1350"/>
        <v>#DIV/0!</v>
      </c>
      <c r="FY305" s="227">
        <v>1500</v>
      </c>
      <c r="FZ305" s="15">
        <f t="shared" si="1432"/>
        <v>1500</v>
      </c>
      <c r="GB305" s="15"/>
      <c r="GC305" s="15">
        <f t="shared" si="1433"/>
        <v>1500</v>
      </c>
      <c r="GE305" s="15"/>
      <c r="GF305" s="15">
        <f t="shared" si="1434"/>
        <v>1500</v>
      </c>
      <c r="GH305" s="15"/>
      <c r="GI305" s="15">
        <f t="shared" si="1435"/>
        <v>1500</v>
      </c>
      <c r="GK305" s="227">
        <v>1500</v>
      </c>
      <c r="GL305" s="15">
        <f t="shared" si="1436"/>
        <v>3000</v>
      </c>
      <c r="GN305" s="15"/>
      <c r="GO305" s="15">
        <f t="shared" si="1437"/>
        <v>3000</v>
      </c>
      <c r="GQ305" s="227">
        <v>3500</v>
      </c>
      <c r="GR305" s="15">
        <f t="shared" si="1438"/>
        <v>6500</v>
      </c>
      <c r="GT305" s="15"/>
      <c r="GU305" s="15">
        <f t="shared" si="1439"/>
        <v>6500</v>
      </c>
      <c r="GW305" s="15"/>
      <c r="GX305" s="15">
        <f t="shared" si="1440"/>
        <v>6500</v>
      </c>
      <c r="GZ305" s="15"/>
      <c r="HA305" s="189">
        <f t="shared" si="1441"/>
        <v>6500</v>
      </c>
      <c r="HC305" s="189">
        <v>5055</v>
      </c>
      <c r="HE305" s="15">
        <v>6500</v>
      </c>
      <c r="HF305" s="235">
        <f t="shared" si="1351"/>
        <v>1.2858555885262117</v>
      </c>
    </row>
    <row r="306" spans="1:214" outlineLevel="1">
      <c r="A306" s="1" t="s">
        <v>76</v>
      </c>
      <c r="B306" s="1" t="s">
        <v>134</v>
      </c>
      <c r="C306" s="4" t="s">
        <v>135</v>
      </c>
      <c r="D306" s="43">
        <v>3000</v>
      </c>
      <c r="E306" s="34">
        <v>97.13</v>
      </c>
      <c r="F306" s="43">
        <v>3000</v>
      </c>
      <c r="G306" s="34">
        <v>97.13</v>
      </c>
      <c r="H306" s="46">
        <v>2914</v>
      </c>
      <c r="I306" s="36">
        <v>2914</v>
      </c>
      <c r="J306" s="14"/>
      <c r="K306" t="s">
        <v>332</v>
      </c>
      <c r="L306" s="118">
        <v>6200</v>
      </c>
      <c r="M306" s="17">
        <f t="shared" si="1352"/>
        <v>1.0666666666666669</v>
      </c>
      <c r="N306" s="17">
        <f t="shared" si="1348"/>
        <v>1.1276595744680851</v>
      </c>
      <c r="Q306" s="118">
        <v>6300</v>
      </c>
      <c r="R306" s="15">
        <v>6279</v>
      </c>
      <c r="S306" s="118">
        <v>6300</v>
      </c>
      <c r="T306" s="15">
        <f t="shared" si="1442"/>
        <v>0</v>
      </c>
      <c r="U306" s="16">
        <f t="shared" si="1443"/>
        <v>0</v>
      </c>
      <c r="V306" s="140">
        <v>6300</v>
      </c>
      <c r="W306" s="15">
        <f>V306-L306</f>
        <v>100</v>
      </c>
      <c r="Y306" s="118">
        <v>6300</v>
      </c>
      <c r="AA306" s="118">
        <v>6300</v>
      </c>
      <c r="AB306" s="185">
        <f t="shared" si="1355"/>
        <v>0</v>
      </c>
      <c r="AC306" s="187">
        <f t="shared" si="1356"/>
        <v>0</v>
      </c>
      <c r="AD306" s="187"/>
      <c r="AE306" s="118">
        <v>6300</v>
      </c>
      <c r="AF306" s="182"/>
      <c r="AH306" s="15">
        <v>3279</v>
      </c>
      <c r="AI306" s="17">
        <f t="shared" si="1451"/>
        <v>0.52047619047619043</v>
      </c>
      <c r="AK306" s="118">
        <v>6800</v>
      </c>
      <c r="AP306" s="220">
        <v>300</v>
      </c>
      <c r="AR306" s="15"/>
      <c r="AS306" s="15">
        <f t="shared" si="1357"/>
        <v>6800</v>
      </c>
      <c r="AV306" s="15">
        <f t="shared" si="1358"/>
        <v>6800</v>
      </c>
      <c r="AX306" s="15"/>
      <c r="AY306" s="15">
        <f t="shared" si="1359"/>
        <v>6800</v>
      </c>
      <c r="BB306" s="15">
        <f t="shared" si="1360"/>
        <v>6800</v>
      </c>
      <c r="BD306" s="15"/>
      <c r="BE306" s="15">
        <f t="shared" si="1361"/>
        <v>6800</v>
      </c>
      <c r="BG306" s="15"/>
      <c r="BH306" s="15">
        <f t="shared" si="1362"/>
        <v>6800</v>
      </c>
      <c r="BJ306" s="15">
        <v>6761</v>
      </c>
      <c r="BK306" s="235">
        <f t="shared" si="1421"/>
        <v>0.99426470588235294</v>
      </c>
      <c r="BM306" s="15">
        <v>6800</v>
      </c>
      <c r="BN306" s="235">
        <f t="shared" si="1416"/>
        <v>1.0057683774589559</v>
      </c>
      <c r="BO306" s="235">
        <f t="shared" si="1417"/>
        <v>1</v>
      </c>
      <c r="BQ306" s="15"/>
      <c r="BR306" s="15">
        <f t="shared" si="1450"/>
        <v>6800</v>
      </c>
      <c r="BT306" s="15"/>
      <c r="BU306" s="15">
        <f t="shared" si="1367"/>
        <v>6800</v>
      </c>
      <c r="BW306" s="15"/>
      <c r="BX306" s="15">
        <f t="shared" si="1368"/>
        <v>6800</v>
      </c>
      <c r="BZ306" s="15"/>
      <c r="CA306" s="15">
        <f t="shared" si="1369"/>
        <v>6800</v>
      </c>
      <c r="CC306" s="15"/>
      <c r="CD306" s="15">
        <f t="shared" si="1370"/>
        <v>6800</v>
      </c>
      <c r="CF306" s="15"/>
      <c r="CG306" s="15">
        <f t="shared" si="1371"/>
        <v>6800</v>
      </c>
      <c r="CI306" s="15"/>
      <c r="CJ306" s="15">
        <f t="shared" si="1372"/>
        <v>6800</v>
      </c>
      <c r="CM306" s="15">
        <f t="shared" si="1373"/>
        <v>6800</v>
      </c>
      <c r="CP306" s="15">
        <f t="shared" si="1374"/>
        <v>6800</v>
      </c>
      <c r="CS306" s="15">
        <f t="shared" si="1375"/>
        <v>6800</v>
      </c>
      <c r="CV306" s="15">
        <f t="shared" si="1376"/>
        <v>6800</v>
      </c>
      <c r="CY306" s="15">
        <f t="shared" si="1377"/>
        <v>6800</v>
      </c>
      <c r="DA306" s="15">
        <v>6761</v>
      </c>
      <c r="DC306" s="15">
        <v>6800</v>
      </c>
      <c r="DE306" s="15"/>
      <c r="DF306" s="15">
        <f t="shared" si="1378"/>
        <v>6800</v>
      </c>
      <c r="DH306" s="15"/>
      <c r="DI306" s="15">
        <f t="shared" si="1379"/>
        <v>6800</v>
      </c>
      <c r="DK306" s="15"/>
      <c r="DL306" s="15">
        <f t="shared" si="1380"/>
        <v>6800</v>
      </c>
      <c r="DN306" s="15"/>
      <c r="DO306" s="15">
        <f t="shared" si="1381"/>
        <v>6800</v>
      </c>
      <c r="DQ306" s="15"/>
      <c r="DR306" s="15">
        <f t="shared" si="1382"/>
        <v>6800</v>
      </c>
      <c r="DT306" s="15"/>
      <c r="DU306" s="15">
        <f t="shared" si="1383"/>
        <v>6800</v>
      </c>
      <c r="DW306" s="15"/>
      <c r="DX306" s="15">
        <f t="shared" si="1384"/>
        <v>6800</v>
      </c>
      <c r="DZ306" s="15"/>
      <c r="EA306" s="15">
        <f t="shared" si="1385"/>
        <v>6800</v>
      </c>
      <c r="EC306" s="15"/>
      <c r="ED306" s="15">
        <f t="shared" si="1386"/>
        <v>6800</v>
      </c>
      <c r="EF306" s="15"/>
      <c r="EG306" s="15">
        <f t="shared" si="1419"/>
        <v>6800</v>
      </c>
      <c r="EI306" s="15">
        <v>6779</v>
      </c>
      <c r="EK306" s="15">
        <v>6400</v>
      </c>
      <c r="EM306" s="15"/>
      <c r="EN306" s="15">
        <f t="shared" si="1422"/>
        <v>6400</v>
      </c>
      <c r="EP306" s="15"/>
      <c r="EQ306" s="15">
        <f t="shared" si="1423"/>
        <v>6400</v>
      </c>
      <c r="ES306" s="15"/>
      <c r="ET306" s="15">
        <f t="shared" si="1424"/>
        <v>6400</v>
      </c>
      <c r="EW306" s="15">
        <f t="shared" si="1425"/>
        <v>6400</v>
      </c>
      <c r="EZ306" s="15">
        <f t="shared" si="1426"/>
        <v>6400</v>
      </c>
      <c r="FC306" s="15">
        <f t="shared" si="1427"/>
        <v>6400</v>
      </c>
      <c r="FF306" s="15">
        <f t="shared" si="1428"/>
        <v>6400</v>
      </c>
      <c r="FI306" s="15">
        <f t="shared" si="1429"/>
        <v>6400</v>
      </c>
      <c r="FL306" s="15">
        <f t="shared" si="1430"/>
        <v>6400</v>
      </c>
      <c r="FO306" s="15">
        <f t="shared" si="1431"/>
        <v>6400</v>
      </c>
      <c r="FR306" s="15">
        <v>6400</v>
      </c>
      <c r="FT306" s="15">
        <v>6374</v>
      </c>
      <c r="FV306" s="15">
        <v>6400</v>
      </c>
      <c r="FW306" s="235">
        <f t="shared" si="1350"/>
        <v>1.004079071226859</v>
      </c>
      <c r="FY306" s="227">
        <v>23</v>
      </c>
      <c r="FZ306" s="15">
        <f t="shared" si="1432"/>
        <v>6423</v>
      </c>
      <c r="GB306" s="15"/>
      <c r="GC306" s="15">
        <f t="shared" si="1433"/>
        <v>6423</v>
      </c>
      <c r="GE306" s="15"/>
      <c r="GF306" s="15">
        <f t="shared" si="1434"/>
        <v>6423</v>
      </c>
      <c r="GH306" s="15"/>
      <c r="GI306" s="15">
        <f t="shared" si="1435"/>
        <v>6423</v>
      </c>
      <c r="GK306" s="15"/>
      <c r="GL306" s="15">
        <f t="shared" si="1436"/>
        <v>6423</v>
      </c>
      <c r="GN306" s="15"/>
      <c r="GO306" s="15">
        <f t="shared" si="1437"/>
        <v>6423</v>
      </c>
      <c r="GQ306" s="15"/>
      <c r="GR306" s="15">
        <f t="shared" si="1438"/>
        <v>6423</v>
      </c>
      <c r="GT306" s="15"/>
      <c r="GU306" s="15">
        <f t="shared" si="1439"/>
        <v>6423</v>
      </c>
      <c r="GW306" s="15"/>
      <c r="GX306" s="15">
        <f t="shared" si="1440"/>
        <v>6423</v>
      </c>
      <c r="GZ306" s="15"/>
      <c r="HA306" s="189">
        <f t="shared" si="1441"/>
        <v>6423</v>
      </c>
      <c r="HC306" s="189">
        <v>6423</v>
      </c>
      <c r="HF306" s="235">
        <f t="shared" si="1351"/>
        <v>0</v>
      </c>
    </row>
    <row r="307" spans="1:214" outlineLevel="1">
      <c r="A307" s="1" t="s">
        <v>76</v>
      </c>
      <c r="B307" s="1" t="s">
        <v>422</v>
      </c>
      <c r="C307" s="4" t="s">
        <v>423</v>
      </c>
      <c r="D307" s="43"/>
      <c r="E307" s="34"/>
      <c r="F307" s="43"/>
      <c r="G307" s="34"/>
      <c r="H307" s="46"/>
      <c r="I307" s="36"/>
      <c r="J307" s="14"/>
      <c r="M307" s="17"/>
      <c r="N307" s="17"/>
      <c r="U307" s="16"/>
      <c r="W307" s="15"/>
      <c r="Y307" s="118"/>
      <c r="AA307" s="118">
        <v>13000</v>
      </c>
      <c r="AB307" s="185">
        <f t="shared" si="1355"/>
        <v>13000</v>
      </c>
      <c r="AC307" s="187">
        <f t="shared" si="1356"/>
        <v>13000</v>
      </c>
      <c r="AD307" s="187"/>
      <c r="AE307" s="118">
        <v>13000</v>
      </c>
      <c r="AF307" s="182"/>
      <c r="AH307" s="15">
        <v>13000</v>
      </c>
      <c r="AI307" s="17">
        <f t="shared" si="1451"/>
        <v>1</v>
      </c>
      <c r="AK307" s="118">
        <v>0</v>
      </c>
      <c r="AR307" s="15"/>
      <c r="AS307" s="15">
        <f t="shared" si="1357"/>
        <v>0</v>
      </c>
      <c r="AV307" s="15">
        <f t="shared" si="1358"/>
        <v>0</v>
      </c>
      <c r="AX307" s="15"/>
      <c r="AY307" s="15">
        <f t="shared" si="1359"/>
        <v>0</v>
      </c>
      <c r="BB307" s="15">
        <f t="shared" si="1360"/>
        <v>0</v>
      </c>
      <c r="BD307" s="15"/>
      <c r="BE307" s="15">
        <f t="shared" si="1361"/>
        <v>0</v>
      </c>
      <c r="BG307" s="15"/>
      <c r="BH307" s="15">
        <f t="shared" si="1362"/>
        <v>0</v>
      </c>
      <c r="BM307" s="15"/>
      <c r="BQ307" s="15"/>
      <c r="BR307" s="15"/>
      <c r="BT307" s="15"/>
      <c r="BU307" s="15"/>
      <c r="BW307" s="15"/>
      <c r="BX307" s="15"/>
      <c r="BZ307" s="15"/>
      <c r="CA307" s="15"/>
      <c r="CC307" s="15"/>
      <c r="CD307" s="15"/>
      <c r="CF307" s="15"/>
      <c r="CG307" s="15"/>
      <c r="CI307" s="15"/>
      <c r="CJ307" s="15"/>
      <c r="CM307" s="15"/>
      <c r="CP307" s="15"/>
      <c r="CS307" s="15"/>
      <c r="CV307" s="15"/>
      <c r="CY307" s="15"/>
      <c r="DE307" s="15"/>
      <c r="DF307" s="15">
        <f t="shared" si="1378"/>
        <v>0</v>
      </c>
      <c r="DH307" s="15"/>
      <c r="DI307" s="15">
        <f t="shared" si="1379"/>
        <v>0</v>
      </c>
      <c r="DK307" s="15"/>
      <c r="DL307" s="15">
        <f t="shared" si="1380"/>
        <v>0</v>
      </c>
      <c r="DN307" s="15"/>
      <c r="DO307" s="15">
        <f t="shared" si="1381"/>
        <v>0</v>
      </c>
      <c r="DQ307" s="15"/>
      <c r="DR307" s="15">
        <f t="shared" si="1382"/>
        <v>0</v>
      </c>
      <c r="DT307" s="15"/>
      <c r="DU307" s="15">
        <f t="shared" si="1383"/>
        <v>0</v>
      </c>
      <c r="DW307" s="15"/>
      <c r="DX307" s="15">
        <f t="shared" si="1384"/>
        <v>0</v>
      </c>
      <c r="DZ307" s="15"/>
      <c r="EA307" s="15">
        <f t="shared" si="1385"/>
        <v>0</v>
      </c>
      <c r="EC307" s="15"/>
      <c r="ED307" s="15">
        <f t="shared" si="1386"/>
        <v>0</v>
      </c>
      <c r="EF307" s="15"/>
      <c r="EG307" s="15">
        <f t="shared" si="1419"/>
        <v>0</v>
      </c>
      <c r="EK307" s="15"/>
      <c r="EM307" s="15"/>
      <c r="EN307" s="15">
        <f t="shared" si="1422"/>
        <v>0</v>
      </c>
      <c r="EP307" s="15"/>
      <c r="EQ307" s="15">
        <f t="shared" si="1423"/>
        <v>0</v>
      </c>
      <c r="ES307" s="15"/>
      <c r="ET307" s="15">
        <f t="shared" si="1424"/>
        <v>0</v>
      </c>
      <c r="EW307" s="15">
        <f t="shared" si="1425"/>
        <v>0</v>
      </c>
      <c r="EZ307" s="15">
        <f t="shared" si="1426"/>
        <v>0</v>
      </c>
      <c r="FC307" s="15">
        <f t="shared" si="1427"/>
        <v>0</v>
      </c>
      <c r="FF307" s="15">
        <f t="shared" si="1428"/>
        <v>0</v>
      </c>
      <c r="FI307" s="15">
        <f t="shared" si="1429"/>
        <v>0</v>
      </c>
      <c r="FL307" s="15">
        <f t="shared" si="1430"/>
        <v>0</v>
      </c>
      <c r="FO307" s="15">
        <f t="shared" si="1431"/>
        <v>0</v>
      </c>
      <c r="FR307" s="15">
        <v>0</v>
      </c>
      <c r="FW307" s="235" t="e">
        <f t="shared" si="1350"/>
        <v>#DIV/0!</v>
      </c>
      <c r="FZ307" s="15">
        <f t="shared" si="1432"/>
        <v>0</v>
      </c>
      <c r="GB307" s="15"/>
      <c r="GC307" s="15">
        <f t="shared" si="1433"/>
        <v>0</v>
      </c>
      <c r="GE307" s="15"/>
      <c r="GF307" s="15">
        <f t="shared" si="1434"/>
        <v>0</v>
      </c>
      <c r="GH307" s="15"/>
      <c r="GI307" s="15">
        <f t="shared" si="1435"/>
        <v>0</v>
      </c>
      <c r="GK307" s="15"/>
      <c r="GL307" s="15">
        <f t="shared" si="1436"/>
        <v>0</v>
      </c>
      <c r="GN307" s="15"/>
      <c r="GO307" s="15">
        <f t="shared" si="1437"/>
        <v>0</v>
      </c>
      <c r="GQ307" s="15"/>
      <c r="GR307" s="15">
        <f t="shared" si="1438"/>
        <v>0</v>
      </c>
      <c r="GT307" s="15"/>
      <c r="GU307" s="15">
        <f t="shared" si="1439"/>
        <v>0</v>
      </c>
      <c r="GW307" s="15"/>
      <c r="GX307" s="15">
        <f t="shared" si="1440"/>
        <v>0</v>
      </c>
      <c r="GZ307" s="15"/>
      <c r="HA307" s="189">
        <f t="shared" si="1441"/>
        <v>0</v>
      </c>
      <c r="HE307" s="15">
        <v>0</v>
      </c>
      <c r="HF307" s="235" t="e">
        <f t="shared" si="1351"/>
        <v>#DIV/0!</v>
      </c>
    </row>
    <row r="308" spans="1:214" outlineLevel="1">
      <c r="A308" s="1" t="s">
        <v>76</v>
      </c>
      <c r="B308" s="1" t="s">
        <v>249</v>
      </c>
      <c r="C308" s="4" t="s">
        <v>496</v>
      </c>
      <c r="D308" s="43"/>
      <c r="E308" s="34"/>
      <c r="F308" s="43"/>
      <c r="G308" s="34"/>
      <c r="H308" s="46"/>
      <c r="I308" s="36"/>
      <c r="J308" s="14"/>
      <c r="M308" s="17"/>
      <c r="N308" s="17"/>
      <c r="U308" s="16"/>
      <c r="W308" s="15"/>
      <c r="Y308" s="118"/>
      <c r="AB308" s="185"/>
      <c r="AC308" s="187"/>
      <c r="AD308" s="187"/>
      <c r="AF308" s="182"/>
      <c r="AH308" s="15"/>
      <c r="AI308" s="17"/>
      <c r="AR308" s="15"/>
      <c r="AS308" s="15"/>
      <c r="AV308" s="15"/>
      <c r="AX308" s="15"/>
      <c r="AY308" s="15"/>
      <c r="BB308" s="15"/>
      <c r="BD308" s="15"/>
      <c r="BE308" s="15"/>
      <c r="BG308" s="15">
        <v>200</v>
      </c>
      <c r="BH308" s="15">
        <f t="shared" si="1362"/>
        <v>200</v>
      </c>
      <c r="BJ308" s="15">
        <v>200</v>
      </c>
      <c r="BK308" s="235">
        <f t="shared" ref="BK308:BK309" si="1452">BJ308/BH308</f>
        <v>1</v>
      </c>
      <c r="BM308" s="15">
        <v>0</v>
      </c>
      <c r="BQ308" s="15"/>
      <c r="BR308" s="15">
        <f t="shared" ref="BR308:BR309" si="1453">BM308+BQ308</f>
        <v>0</v>
      </c>
      <c r="BT308" s="15"/>
      <c r="BU308" s="15">
        <f>BR308+BT308</f>
        <v>0</v>
      </c>
      <c r="BW308" s="15"/>
      <c r="BX308" s="15">
        <f>BU308+BW308</f>
        <v>0</v>
      </c>
      <c r="BZ308" s="15"/>
      <c r="CA308" s="15">
        <f>BX308+BZ308</f>
        <v>0</v>
      </c>
      <c r="CC308" s="15"/>
      <c r="CD308" s="15">
        <f>CA308+CC308</f>
        <v>0</v>
      </c>
      <c r="CF308" s="15"/>
      <c r="CG308" s="15">
        <f>CD308+CF308</f>
        <v>0</v>
      </c>
      <c r="CI308" s="15"/>
      <c r="CJ308" s="15">
        <f>CG308+CI308</f>
        <v>0</v>
      </c>
      <c r="CM308" s="15">
        <f>CJ308+CL308</f>
        <v>0</v>
      </c>
      <c r="CP308" s="15">
        <f>CM308+CO308</f>
        <v>0</v>
      </c>
      <c r="CS308" s="15">
        <f>CP308+CR308</f>
        <v>0</v>
      </c>
      <c r="CV308" s="15">
        <f>CS308+CU308</f>
        <v>0</v>
      </c>
      <c r="CY308" s="15">
        <f>CV308+CX308</f>
        <v>0</v>
      </c>
      <c r="DA308" s="15">
        <v>0</v>
      </c>
      <c r="DE308" s="15"/>
      <c r="DF308" s="15">
        <f t="shared" si="1378"/>
        <v>0</v>
      </c>
      <c r="DH308" s="15"/>
      <c r="DI308" s="15">
        <f t="shared" si="1379"/>
        <v>0</v>
      </c>
      <c r="DK308" s="15"/>
      <c r="DL308" s="15">
        <f t="shared" si="1380"/>
        <v>0</v>
      </c>
      <c r="DN308" s="15"/>
      <c r="DO308" s="15">
        <f t="shared" si="1381"/>
        <v>0</v>
      </c>
      <c r="DQ308" s="15"/>
      <c r="DR308" s="15">
        <f t="shared" si="1382"/>
        <v>0</v>
      </c>
      <c r="DT308" s="15"/>
      <c r="DU308" s="15">
        <f t="shared" si="1383"/>
        <v>0</v>
      </c>
      <c r="DW308" s="15"/>
      <c r="DX308" s="15">
        <f t="shared" si="1384"/>
        <v>0</v>
      </c>
      <c r="DZ308" s="15"/>
      <c r="EA308" s="15">
        <f t="shared" si="1385"/>
        <v>0</v>
      </c>
      <c r="EC308" s="15"/>
      <c r="ED308" s="15">
        <f t="shared" si="1386"/>
        <v>0</v>
      </c>
      <c r="EF308" s="15"/>
      <c r="EG308" s="15">
        <f t="shared" si="1419"/>
        <v>0</v>
      </c>
      <c r="EK308" s="15"/>
      <c r="EM308" s="15"/>
      <c r="EN308" s="15">
        <f t="shared" si="1422"/>
        <v>0</v>
      </c>
      <c r="EP308" s="15"/>
      <c r="EQ308" s="15">
        <f t="shared" si="1423"/>
        <v>0</v>
      </c>
      <c r="ES308" s="15"/>
      <c r="ET308" s="15">
        <f t="shared" si="1424"/>
        <v>0</v>
      </c>
      <c r="EW308" s="15">
        <f t="shared" si="1425"/>
        <v>0</v>
      </c>
      <c r="EZ308" s="15">
        <f t="shared" si="1426"/>
        <v>0</v>
      </c>
      <c r="FC308" s="15">
        <f t="shared" si="1427"/>
        <v>0</v>
      </c>
      <c r="FF308" s="15">
        <f t="shared" si="1428"/>
        <v>0</v>
      </c>
      <c r="FI308" s="15">
        <f t="shared" si="1429"/>
        <v>0</v>
      </c>
      <c r="FL308" s="15">
        <f t="shared" si="1430"/>
        <v>0</v>
      </c>
      <c r="FO308" s="15">
        <f t="shared" si="1431"/>
        <v>0</v>
      </c>
      <c r="FR308" s="15">
        <v>0</v>
      </c>
      <c r="FW308" s="235" t="e">
        <f t="shared" si="1350"/>
        <v>#DIV/0!</v>
      </c>
      <c r="FZ308" s="15">
        <f t="shared" si="1432"/>
        <v>0</v>
      </c>
      <c r="GB308" s="15"/>
      <c r="GC308" s="15">
        <f t="shared" si="1433"/>
        <v>0</v>
      </c>
      <c r="GE308" s="15"/>
      <c r="GF308" s="15">
        <f t="shared" si="1434"/>
        <v>0</v>
      </c>
      <c r="GH308" s="15"/>
      <c r="GI308" s="15">
        <f t="shared" si="1435"/>
        <v>0</v>
      </c>
      <c r="GK308" s="15"/>
      <c r="GL308" s="15">
        <f t="shared" si="1436"/>
        <v>0</v>
      </c>
      <c r="GN308" s="15"/>
      <c r="GO308" s="15">
        <f t="shared" si="1437"/>
        <v>0</v>
      </c>
      <c r="GQ308" s="15"/>
      <c r="GR308" s="15">
        <f t="shared" si="1438"/>
        <v>0</v>
      </c>
      <c r="GT308" s="15"/>
      <c r="GU308" s="15">
        <f t="shared" si="1439"/>
        <v>0</v>
      </c>
      <c r="GW308" s="15"/>
      <c r="GX308" s="15">
        <f t="shared" si="1440"/>
        <v>0</v>
      </c>
      <c r="GZ308" s="15"/>
      <c r="HA308" s="189">
        <f t="shared" si="1441"/>
        <v>0</v>
      </c>
      <c r="HE308" s="15">
        <v>0</v>
      </c>
      <c r="HF308" s="235" t="e">
        <f t="shared" si="1351"/>
        <v>#DIV/0!</v>
      </c>
    </row>
    <row r="309" spans="1:214" outlineLevel="1">
      <c r="A309" s="1" t="s">
        <v>76</v>
      </c>
      <c r="B309" s="1" t="s">
        <v>197</v>
      </c>
      <c r="C309" s="4" t="s">
        <v>198</v>
      </c>
      <c r="D309" s="43">
        <v>3000</v>
      </c>
      <c r="E309" s="34">
        <v>0</v>
      </c>
      <c r="F309" s="43">
        <v>3000</v>
      </c>
      <c r="G309" s="34">
        <v>0</v>
      </c>
      <c r="H309" s="46">
        <v>0</v>
      </c>
      <c r="I309" s="36">
        <v>0</v>
      </c>
      <c r="J309" s="14"/>
      <c r="K309" t="s">
        <v>332</v>
      </c>
      <c r="L309" s="118">
        <v>3000</v>
      </c>
      <c r="M309" s="17">
        <f t="shared" si="1352"/>
        <v>0</v>
      </c>
      <c r="N309" s="17" t="e">
        <f t="shared" si="1348"/>
        <v>#DIV/0!</v>
      </c>
      <c r="Q309" s="118">
        <v>5200</v>
      </c>
      <c r="R309" s="15">
        <v>5147</v>
      </c>
      <c r="S309" s="118">
        <v>7500</v>
      </c>
      <c r="T309" s="15">
        <f t="shared" si="1442"/>
        <v>2300</v>
      </c>
      <c r="U309" s="16">
        <f t="shared" si="1443"/>
        <v>0.44230769230769229</v>
      </c>
      <c r="Y309" s="118">
        <v>7500</v>
      </c>
      <c r="AA309" s="118">
        <v>6500</v>
      </c>
      <c r="AB309" s="185">
        <f t="shared" si="1355"/>
        <v>-1000</v>
      </c>
      <c r="AC309" s="187">
        <f t="shared" si="1356"/>
        <v>-1000</v>
      </c>
      <c r="AD309" s="187"/>
      <c r="AE309" s="118">
        <v>6500</v>
      </c>
      <c r="AF309" s="182"/>
      <c r="AH309" s="15">
        <v>5147</v>
      </c>
      <c r="AI309" s="17">
        <f t="shared" si="1451"/>
        <v>0.79184615384615387</v>
      </c>
      <c r="AK309" s="118">
        <v>6500</v>
      </c>
      <c r="AR309" s="15"/>
      <c r="AS309" s="15">
        <f t="shared" si="1357"/>
        <v>6500</v>
      </c>
      <c r="AV309" s="15">
        <f t="shared" si="1358"/>
        <v>6500</v>
      </c>
      <c r="AX309" s="15"/>
      <c r="AY309" s="15">
        <f t="shared" si="1359"/>
        <v>6500</v>
      </c>
      <c r="BB309" s="15">
        <f t="shared" si="1360"/>
        <v>6500</v>
      </c>
      <c r="BD309" s="15"/>
      <c r="BE309" s="15">
        <f t="shared" si="1361"/>
        <v>6500</v>
      </c>
      <c r="BG309" s="15"/>
      <c r="BH309" s="15">
        <f t="shared" si="1362"/>
        <v>6500</v>
      </c>
      <c r="BJ309" s="15">
        <v>0</v>
      </c>
      <c r="BK309" s="235">
        <f t="shared" si="1452"/>
        <v>0</v>
      </c>
      <c r="BM309" s="15">
        <v>5500</v>
      </c>
      <c r="BQ309" s="15"/>
      <c r="BR309" s="15">
        <f t="shared" si="1453"/>
        <v>5500</v>
      </c>
      <c r="BT309" s="15"/>
      <c r="BU309" s="15">
        <f>BR309+BT309</f>
        <v>5500</v>
      </c>
      <c r="BW309" s="15"/>
      <c r="BX309" s="15">
        <f>BU309+BW309</f>
        <v>5500</v>
      </c>
      <c r="BZ309" s="15"/>
      <c r="CA309" s="15">
        <f>BX309+BZ309</f>
        <v>5500</v>
      </c>
      <c r="CC309" s="15"/>
      <c r="CD309" s="15">
        <f>CA309+CC309</f>
        <v>5500</v>
      </c>
      <c r="CF309" s="15"/>
      <c r="CG309" s="15">
        <f>CD309+CF309</f>
        <v>5500</v>
      </c>
      <c r="CI309" s="15"/>
      <c r="CJ309" s="15">
        <f>CG309+CI309</f>
        <v>5500</v>
      </c>
      <c r="CM309" s="15">
        <f>CJ309+CL309</f>
        <v>5500</v>
      </c>
      <c r="CP309" s="15">
        <f>CM309+CO309</f>
        <v>5500</v>
      </c>
      <c r="CS309" s="15">
        <f>CP309+CR309</f>
        <v>5500</v>
      </c>
      <c r="CU309" s="227">
        <v>5000</v>
      </c>
      <c r="CV309" s="15">
        <f>CS309+CU309</f>
        <v>10500</v>
      </c>
      <c r="CX309" s="227"/>
      <c r="CY309" s="15">
        <f>CV309+CX309</f>
        <v>10500</v>
      </c>
      <c r="DA309" s="15">
        <v>10387</v>
      </c>
      <c r="DC309" s="15">
        <v>5000</v>
      </c>
      <c r="DE309" s="15"/>
      <c r="DF309" s="15">
        <f t="shared" si="1378"/>
        <v>5000</v>
      </c>
      <c r="DH309" s="15"/>
      <c r="DI309" s="15">
        <f t="shared" si="1379"/>
        <v>5000</v>
      </c>
      <c r="DK309" s="15"/>
      <c r="DL309" s="15">
        <f t="shared" si="1380"/>
        <v>5000</v>
      </c>
      <c r="DN309" s="15"/>
      <c r="DO309" s="15">
        <f t="shared" si="1381"/>
        <v>5000</v>
      </c>
      <c r="DQ309" s="15"/>
      <c r="DR309" s="15">
        <f t="shared" si="1382"/>
        <v>5000</v>
      </c>
      <c r="DT309" s="15"/>
      <c r="DU309" s="15">
        <f t="shared" si="1383"/>
        <v>5000</v>
      </c>
      <c r="DW309" s="15"/>
      <c r="DX309" s="15">
        <f t="shared" si="1384"/>
        <v>5000</v>
      </c>
      <c r="DZ309" s="15"/>
      <c r="EA309" s="15">
        <f t="shared" si="1385"/>
        <v>5000</v>
      </c>
      <c r="EC309" s="15"/>
      <c r="ED309" s="15">
        <f t="shared" si="1386"/>
        <v>5000</v>
      </c>
      <c r="EF309" s="15"/>
      <c r="EG309" s="15">
        <f t="shared" si="1419"/>
        <v>5000</v>
      </c>
      <c r="EI309" s="15">
        <v>4816</v>
      </c>
      <c r="EK309" s="15">
        <v>5000</v>
      </c>
      <c r="EM309" s="227">
        <v>-5000</v>
      </c>
      <c r="EN309" s="15">
        <f t="shared" si="1422"/>
        <v>0</v>
      </c>
      <c r="EP309" s="15"/>
      <c r="EQ309" s="15">
        <f t="shared" si="1423"/>
        <v>0</v>
      </c>
      <c r="ES309" s="15"/>
      <c r="ET309" s="15">
        <f t="shared" si="1424"/>
        <v>0</v>
      </c>
      <c r="EW309" s="15">
        <f t="shared" si="1425"/>
        <v>0</v>
      </c>
      <c r="EZ309" s="15">
        <f t="shared" si="1426"/>
        <v>0</v>
      </c>
      <c r="FC309" s="15">
        <f t="shared" si="1427"/>
        <v>0</v>
      </c>
      <c r="FF309" s="15">
        <f t="shared" si="1428"/>
        <v>0</v>
      </c>
      <c r="FI309" s="15">
        <f t="shared" si="1429"/>
        <v>0</v>
      </c>
      <c r="FL309" s="15">
        <f t="shared" si="1430"/>
        <v>0</v>
      </c>
      <c r="FO309" s="15">
        <f t="shared" si="1431"/>
        <v>0</v>
      </c>
      <c r="FR309" s="15">
        <v>0</v>
      </c>
      <c r="FW309" s="235" t="e">
        <f t="shared" si="1350"/>
        <v>#DIV/0!</v>
      </c>
      <c r="FZ309" s="15">
        <f t="shared" si="1432"/>
        <v>0</v>
      </c>
      <c r="GB309" s="15"/>
      <c r="GC309" s="15">
        <f t="shared" si="1433"/>
        <v>0</v>
      </c>
      <c r="GE309" s="15"/>
      <c r="GF309" s="15">
        <f t="shared" si="1434"/>
        <v>0</v>
      </c>
      <c r="GH309" s="15"/>
      <c r="GI309" s="15">
        <f t="shared" si="1435"/>
        <v>0</v>
      </c>
      <c r="GK309" s="15"/>
      <c r="GL309" s="15">
        <f t="shared" si="1436"/>
        <v>0</v>
      </c>
      <c r="GN309" s="15"/>
      <c r="GO309" s="15">
        <f t="shared" si="1437"/>
        <v>0</v>
      </c>
      <c r="GQ309" s="15"/>
      <c r="GR309" s="15">
        <f t="shared" si="1438"/>
        <v>0</v>
      </c>
      <c r="GT309" s="15"/>
      <c r="GU309" s="15">
        <f t="shared" si="1439"/>
        <v>0</v>
      </c>
      <c r="GW309" s="15"/>
      <c r="GX309" s="15">
        <f t="shared" si="1440"/>
        <v>0</v>
      </c>
      <c r="GZ309" s="15"/>
      <c r="HA309" s="189">
        <f t="shared" si="1441"/>
        <v>0</v>
      </c>
      <c r="HE309" s="15">
        <v>5000</v>
      </c>
      <c r="HF309" s="235" t="e">
        <f t="shared" si="1351"/>
        <v>#DIV/0!</v>
      </c>
    </row>
    <row r="310" spans="1:214" outlineLevel="1">
      <c r="A310" s="1" t="s">
        <v>76</v>
      </c>
      <c r="B310" s="1" t="s">
        <v>402</v>
      </c>
      <c r="C310" s="4" t="s">
        <v>403</v>
      </c>
      <c r="D310" s="43"/>
      <c r="E310" s="34"/>
      <c r="F310" s="43"/>
      <c r="G310" s="34"/>
      <c r="H310" s="46"/>
      <c r="I310" s="36"/>
      <c r="J310" s="14"/>
      <c r="M310" s="17"/>
      <c r="N310" s="17"/>
      <c r="S310" s="118">
        <v>8000</v>
      </c>
      <c r="U310" s="16"/>
      <c r="Y310" s="118">
        <v>8000</v>
      </c>
      <c r="AA310" s="118">
        <v>0</v>
      </c>
      <c r="AB310" s="185">
        <f t="shared" si="1355"/>
        <v>-8000</v>
      </c>
      <c r="AC310" s="187">
        <f t="shared" si="1356"/>
        <v>-8000</v>
      </c>
      <c r="AD310" s="187"/>
      <c r="AE310" s="118">
        <v>0</v>
      </c>
      <c r="AF310" s="182"/>
      <c r="AH310" s="15"/>
      <c r="AX310" s="15"/>
      <c r="BD310" s="15"/>
      <c r="BG310" s="15"/>
      <c r="DE310" s="15"/>
      <c r="DH310" s="15"/>
      <c r="DK310" s="15"/>
      <c r="DN310" s="15"/>
      <c r="DQ310" s="15"/>
      <c r="DT310" s="15"/>
      <c r="DW310" s="15"/>
      <c r="DZ310" s="15"/>
      <c r="EC310" s="15"/>
      <c r="EF310" s="15"/>
      <c r="EK310" s="15"/>
      <c r="EM310" s="15"/>
      <c r="EP310" s="15"/>
      <c r="ES310" s="15"/>
      <c r="GB310" s="15"/>
      <c r="GE310" s="15"/>
      <c r="GH310" s="15"/>
      <c r="GK310" s="15"/>
      <c r="GN310" s="15"/>
      <c r="GQ310" s="15"/>
      <c r="GT310" s="15"/>
      <c r="GW310" s="15"/>
      <c r="GZ310" s="15"/>
    </row>
    <row r="311" spans="1:214" ht="17.25" customHeight="1" thickBot="1">
      <c r="A311" s="54" t="s">
        <v>76</v>
      </c>
      <c r="B311" s="55" t="s">
        <v>316</v>
      </c>
      <c r="C311" s="56" t="s">
        <v>350</v>
      </c>
      <c r="D311" s="57">
        <f>SUM(D279:D309)</f>
        <v>1052200</v>
      </c>
      <c r="E311" s="58"/>
      <c r="F311" s="57">
        <f>SUM(F279:F309)</f>
        <v>1213487.3399999999</v>
      </c>
      <c r="G311" s="58"/>
      <c r="H311" s="57"/>
      <c r="I311" s="57">
        <f>SUM(I279:I309)</f>
        <v>791510.77600000007</v>
      </c>
      <c r="J311" s="138" t="e">
        <f>I311/$I$350</f>
        <v>#REF!</v>
      </c>
      <c r="K311" s="60"/>
      <c r="L311" s="122">
        <f>SUM(L279:L309)</f>
        <v>779500</v>
      </c>
      <c r="M311" s="61">
        <f>L311/F311-1</f>
        <v>-0.35763647933896026</v>
      </c>
      <c r="N311" s="61">
        <f>L311/I311-1</f>
        <v>-1.517449460473308E-2</v>
      </c>
      <c r="O311" s="17">
        <f>L311/$L$350</f>
        <v>0.18085847203449601</v>
      </c>
      <c r="P311" s="17"/>
      <c r="Q311" s="122">
        <f>SUM(Q279:Q309)</f>
        <v>733510</v>
      </c>
      <c r="R311" s="122">
        <f>SUM(R279:R309)</f>
        <v>327220</v>
      </c>
      <c r="S311" s="122">
        <f>SUM(S279:S310)</f>
        <v>701800</v>
      </c>
      <c r="T311" s="122">
        <f>SUM(T279:T309)</f>
        <v>-39710</v>
      </c>
      <c r="U311" s="155">
        <f>S311/Q311-1</f>
        <v>-4.3230494471786396E-2</v>
      </c>
      <c r="Y311" s="122">
        <f>SUM(Y279:Y309)</f>
        <v>693800</v>
      </c>
      <c r="AA311" s="122">
        <f>SUM(AA279:AA309)</f>
        <v>765300</v>
      </c>
      <c r="AB311" s="122">
        <f>SUM(AB279:AB309)</f>
        <v>71500</v>
      </c>
      <c r="AE311" s="122">
        <f>SUM(AE279:AE309)</f>
        <v>773300</v>
      </c>
      <c r="AF311" s="182"/>
      <c r="AH311" s="122">
        <f>SUM(AH279:AH309)</f>
        <v>695904.53</v>
      </c>
      <c r="AI311" s="17">
        <f t="shared" ref="AI311:AI317" si="1454">AH311/AE311</f>
        <v>0.89991533686796843</v>
      </c>
      <c r="AK311" s="122">
        <f>SUM(AK279:AK309)</f>
        <v>734700</v>
      </c>
      <c r="AL311" s="193">
        <f t="shared" ref="AL311:AL313" si="1455">AK311/L311</f>
        <v>0.94252726106478513</v>
      </c>
      <c r="AM311" s="17">
        <f t="shared" ref="AM311:AM313" si="1456">AK311/AE311</f>
        <v>0.9500840553472133</v>
      </c>
      <c r="AN311" s="17">
        <f t="shared" ref="AN311:AN313" si="1457">AK311/AH311</f>
        <v>1.0557482647799403</v>
      </c>
      <c r="AS311" s="122">
        <f>SUM(AS279:AS309)</f>
        <v>734700</v>
      </c>
      <c r="AU311" s="122">
        <f>SUM(AU279:AU309)</f>
        <v>3000</v>
      </c>
      <c r="AV311" s="122">
        <f>SUM(AV279:AV309)</f>
        <v>737700</v>
      </c>
      <c r="AX311" s="122">
        <f>SUM(AX279:AX309)</f>
        <v>0</v>
      </c>
      <c r="AY311" s="122">
        <f>SUM(AY279:AY309)</f>
        <v>737700</v>
      </c>
      <c r="BA311" s="122">
        <f>SUM(BA279:BA309)</f>
        <v>2000</v>
      </c>
      <c r="BB311" s="122">
        <f>SUM(BB279:BB309)</f>
        <v>739700</v>
      </c>
      <c r="BD311" s="122">
        <f>SUM(BD279:BD309)</f>
        <v>116200</v>
      </c>
      <c r="BE311" s="122">
        <f>SUM(BE279:BE309)</f>
        <v>855900</v>
      </c>
      <c r="BG311" s="122">
        <f>SUM(BG279:BG309)</f>
        <v>-126500</v>
      </c>
      <c r="BH311" s="122">
        <f>SUM(BH279:BH309)</f>
        <v>729400</v>
      </c>
      <c r="BJ311" s="122">
        <f>SUM(BJ279:BJ309)</f>
        <v>643275.87000000011</v>
      </c>
      <c r="BK311" s="236">
        <f t="shared" ref="BK311" si="1458">BJ311/BH311</f>
        <v>0.88192469152728281</v>
      </c>
      <c r="BM311" s="122">
        <f>SUM(BM279:BM309)</f>
        <v>785750</v>
      </c>
      <c r="BN311" s="236">
        <f t="shared" ref="BN311:BN313" si="1459">BM311/BJ311</f>
        <v>1.2214821613004074</v>
      </c>
      <c r="BO311" s="236">
        <f t="shared" ref="BO311:BO313" si="1460">BM311/BH311</f>
        <v>1.0772552783109406</v>
      </c>
      <c r="BQ311" s="122">
        <f>SUM(BQ279:BQ309)</f>
        <v>0</v>
      </c>
      <c r="BR311" s="122">
        <f>SUM(BR279:BR309)</f>
        <v>785750</v>
      </c>
      <c r="BT311" s="122">
        <f>SUM(BT279:BT309)</f>
        <v>5000</v>
      </c>
      <c r="BU311" s="122">
        <f>SUM(BU279:BU309)</f>
        <v>790750</v>
      </c>
      <c r="BW311" s="122">
        <f>SUM(BW279:BW309)</f>
        <v>90000</v>
      </c>
      <c r="BX311" s="122">
        <f>SUM(BX279:BX309)</f>
        <v>880750</v>
      </c>
      <c r="BZ311" s="122">
        <f>SUM(BZ279:BZ309)</f>
        <v>0</v>
      </c>
      <c r="CA311" s="122">
        <f>SUM(CA279:CA309)</f>
        <v>880750</v>
      </c>
      <c r="CC311" s="122">
        <f>SUM(CC279:CC309)</f>
        <v>0</v>
      </c>
      <c r="CD311" s="122">
        <f>SUM(CD279:CD309)</f>
        <v>880750</v>
      </c>
      <c r="CF311" s="122">
        <f>SUM(CF279:CF309)</f>
        <v>20000</v>
      </c>
      <c r="CG311" s="122">
        <f>SUM(CG279:CG309)</f>
        <v>900750</v>
      </c>
      <c r="CI311" s="122">
        <f>SUM(CI279:CI309)</f>
        <v>30000</v>
      </c>
      <c r="CJ311" s="122">
        <f>SUM(CJ279:CJ309)</f>
        <v>930750</v>
      </c>
      <c r="CL311" s="319">
        <f>SUM(CL279:CL309)</f>
        <v>-51000</v>
      </c>
      <c r="CM311" s="122">
        <f>SUM(CM279:CM309)</f>
        <v>879750</v>
      </c>
      <c r="CO311" s="122">
        <f>SUM(CO279:CO309)</f>
        <v>53200</v>
      </c>
      <c r="CP311" s="122">
        <f>SUM(CP279:CP309)</f>
        <v>932950</v>
      </c>
      <c r="CR311" s="122">
        <f>SUM(CR279:CR309)</f>
        <v>0</v>
      </c>
      <c r="CS311" s="122">
        <f>SUM(CS279:CS309)</f>
        <v>932950</v>
      </c>
      <c r="CU311" s="122">
        <f>SUM(CU279:CU309)</f>
        <v>16800</v>
      </c>
      <c r="CV311" s="122">
        <f>SUM(CV279:CV309)</f>
        <v>949750</v>
      </c>
      <c r="CX311" s="122">
        <f>SUM(CX279:CX309)</f>
        <v>0</v>
      </c>
      <c r="CY311" s="122">
        <f>SUM(CY279:CY309)</f>
        <v>949750</v>
      </c>
      <c r="DA311" s="122">
        <f>SUM(DA279:DA309)</f>
        <v>934191.45000000007</v>
      </c>
      <c r="DC311" s="122">
        <f>SUM(DC279:DC309)</f>
        <v>1121200</v>
      </c>
      <c r="DE311" s="122">
        <f>SUM(DE279:DE309)</f>
        <v>0</v>
      </c>
      <c r="DF311" s="122">
        <f>SUM(DF279:DF309)</f>
        <v>1121200</v>
      </c>
      <c r="DH311" s="122">
        <f>SUM(DH279:DH309)</f>
        <v>21000</v>
      </c>
      <c r="DI311" s="122">
        <f>SUM(DI279:DI309)</f>
        <v>1142200</v>
      </c>
      <c r="DK311" s="122">
        <f>SUM(DK279:DK309)</f>
        <v>0</v>
      </c>
      <c r="DL311" s="122">
        <f>SUM(DL279:DL309)</f>
        <v>1142200</v>
      </c>
      <c r="DN311" s="122">
        <f>SUM(DN279:DN309)</f>
        <v>0</v>
      </c>
      <c r="DO311" s="122">
        <f>SUM(DO279:DO309)</f>
        <v>1142200</v>
      </c>
      <c r="DQ311" s="122">
        <f>SUM(DQ279:DQ309)</f>
        <v>-33400</v>
      </c>
      <c r="DR311" s="122">
        <f>SUM(DR279:DR309)</f>
        <v>1108800</v>
      </c>
      <c r="DT311" s="122">
        <f>SUM(DT279:DT309)</f>
        <v>0</v>
      </c>
      <c r="DU311" s="122">
        <f>SUM(DU279:DU309)</f>
        <v>1108800</v>
      </c>
      <c r="DW311" s="122">
        <f>SUM(DW279:DW309)</f>
        <v>2100</v>
      </c>
      <c r="DX311" s="122">
        <f>SUM(DX279:DX309)</f>
        <v>1110900</v>
      </c>
      <c r="DZ311" s="122">
        <f>SUM(DZ279:DZ309)</f>
        <v>-48480</v>
      </c>
      <c r="EA311" s="122">
        <f>SUM(EA279:EA309)</f>
        <v>1062420</v>
      </c>
      <c r="EC311" s="122">
        <f>SUM(EC279:EC309)</f>
        <v>43590</v>
      </c>
      <c r="ED311" s="122">
        <f>SUM(ED279:ED309)</f>
        <v>1106010</v>
      </c>
      <c r="EF311" s="122">
        <f>SUM(EF279:EF309)</f>
        <v>44180</v>
      </c>
      <c r="EG311" s="122">
        <f>SUM(EG279:EG309)</f>
        <v>1150190</v>
      </c>
      <c r="EI311" s="122">
        <f>SUM(EI279:EI309)</f>
        <v>1113147.6299999999</v>
      </c>
      <c r="EK311" s="122">
        <f>SUM(EK279:EK309)</f>
        <v>1110600</v>
      </c>
      <c r="EM311" s="122">
        <f>SUM(EM279:EM309)</f>
        <v>0</v>
      </c>
      <c r="EN311" s="122">
        <f>SUM(EN279:EN309)</f>
        <v>1110600</v>
      </c>
      <c r="EP311" s="122">
        <f>SUM(EP279:EP309)</f>
        <v>0</v>
      </c>
      <c r="EQ311" s="122">
        <f>SUM(EQ279:EQ309)</f>
        <v>1110600</v>
      </c>
      <c r="ES311" s="122">
        <f>SUM(ES279:ES309)</f>
        <v>0</v>
      </c>
      <c r="ET311" s="122">
        <f>SUM(ET279:ET309)</f>
        <v>1110600</v>
      </c>
      <c r="EV311" s="122">
        <f>SUM(EV279:EV309)</f>
        <v>-7000</v>
      </c>
      <c r="EW311" s="122">
        <f>SUM(EW279:EW309)</f>
        <v>1103600</v>
      </c>
      <c r="EY311" s="122">
        <f>SUM(EY279:EY309)</f>
        <v>-10200</v>
      </c>
      <c r="EZ311" s="122">
        <f>SUM(EZ279:EZ309)</f>
        <v>1093400</v>
      </c>
      <c r="FB311" s="122">
        <f>SUM(FB279:FB309)</f>
        <v>-53000</v>
      </c>
      <c r="FC311" s="122">
        <f>SUM(FC279:FC309)</f>
        <v>1040400</v>
      </c>
      <c r="FE311" s="122">
        <f>SUM(FE279:FE309)</f>
        <v>0</v>
      </c>
      <c r="FF311" s="122">
        <f>SUM(FF279:FF309)</f>
        <v>1040400</v>
      </c>
      <c r="FH311" s="122">
        <f>SUM(FH279:FH309)</f>
        <v>0</v>
      </c>
      <c r="FI311" s="122">
        <f>SUM(FI279:FI309)</f>
        <v>1040400</v>
      </c>
      <c r="FK311" s="122">
        <f>SUM(FK279:FK309)</f>
        <v>65000</v>
      </c>
      <c r="FL311" s="122">
        <f>SUM(FL279:FL309)</f>
        <v>1105400</v>
      </c>
      <c r="FN311" s="122">
        <f>SUM(FN279:FN309)</f>
        <v>8400</v>
      </c>
      <c r="FO311" s="122">
        <f>SUM(FO279:FO309)</f>
        <v>1113800</v>
      </c>
      <c r="FQ311" s="122">
        <v>12560</v>
      </c>
      <c r="FR311" s="122">
        <v>1126360</v>
      </c>
      <c r="FT311" s="122">
        <f>SUM(FT279:FT309)</f>
        <v>1102715.42</v>
      </c>
      <c r="FV311" s="122">
        <f>SUM(FV279:FV309)</f>
        <v>1188900</v>
      </c>
      <c r="FW311" s="235">
        <f t="shared" ref="FW311:FW313" si="1461">FV311/FT311</f>
        <v>1.0781566834351515</v>
      </c>
      <c r="FY311" s="122">
        <f>SUM(FY279:FY309)</f>
        <v>-17070</v>
      </c>
      <c r="FZ311" s="122">
        <f>SUM(FZ279:FZ309)</f>
        <v>1171830</v>
      </c>
      <c r="GB311" s="122">
        <f>SUM(GB279:GB309)</f>
        <v>0</v>
      </c>
      <c r="GC311" s="122">
        <f>SUM(GC279:GC309)</f>
        <v>1171830</v>
      </c>
      <c r="GE311" s="122">
        <f>SUM(GE279:GE309)</f>
        <v>118093</v>
      </c>
      <c r="GF311" s="122">
        <f>SUM(GF279:GF309)</f>
        <v>1289923</v>
      </c>
      <c r="GH311" s="122">
        <f>SUM(GH279:GH309)</f>
        <v>0</v>
      </c>
      <c r="GI311" s="122">
        <f>SUM(GI279:GI309)</f>
        <v>1289923</v>
      </c>
      <c r="GK311" s="122">
        <f>SUM(GK279:GK309)</f>
        <v>-6000</v>
      </c>
      <c r="GL311" s="122">
        <f>SUM(GL279:GL309)</f>
        <v>1283923</v>
      </c>
      <c r="GN311" s="122">
        <f>SUM(GN279:GN309)</f>
        <v>7800</v>
      </c>
      <c r="GO311" s="122">
        <f>SUM(GO279:GO309)</f>
        <v>1291723</v>
      </c>
      <c r="GQ311" s="122">
        <f>SUM(GQ279:GQ309)</f>
        <v>26300</v>
      </c>
      <c r="GR311" s="122">
        <f>SUM(GR279:GR309)</f>
        <v>1318023</v>
      </c>
      <c r="GT311" s="122">
        <f>SUM(GT279:GT309)</f>
        <v>50500</v>
      </c>
      <c r="GU311" s="122">
        <f>SUM(GU279:GU309)</f>
        <v>1368523</v>
      </c>
      <c r="GW311" s="122">
        <f>SUM(GW279:GW309)</f>
        <v>-4500</v>
      </c>
      <c r="GX311" s="122">
        <f>SUM(GX279:GX309)</f>
        <v>1364023</v>
      </c>
      <c r="GZ311" s="122">
        <f>SUM(GZ279:GZ309)</f>
        <v>15100</v>
      </c>
      <c r="HA311" s="430">
        <f>SUM(HA279:HA309)</f>
        <v>1379123</v>
      </c>
      <c r="HC311" s="122">
        <f>SUM(HC279:HC309)</f>
        <v>1197463.96</v>
      </c>
      <c r="HE311" s="122">
        <f>SUM(HE279:HE309)</f>
        <v>1137600</v>
      </c>
      <c r="HF311" s="235">
        <f>HE311/HC311</f>
        <v>0.95000771463719047</v>
      </c>
    </row>
    <row r="312" spans="1:214" ht="16.5" customHeight="1" thickTop="1" thickBot="1">
      <c r="A312" s="64" t="s">
        <v>76</v>
      </c>
      <c r="B312" s="65" t="s">
        <v>357</v>
      </c>
      <c r="C312" s="284" t="s">
        <v>351</v>
      </c>
      <c r="D312" s="66">
        <f>D300</f>
        <v>180000</v>
      </c>
      <c r="E312" s="67"/>
      <c r="F312" s="66">
        <f>F300</f>
        <v>180000</v>
      </c>
      <c r="G312" s="67"/>
      <c r="H312" s="66"/>
      <c r="I312" s="66">
        <f>I300</f>
        <v>199</v>
      </c>
      <c r="J312" s="68"/>
      <c r="K312" s="69"/>
      <c r="L312" s="123">
        <f>L300</f>
        <v>10000</v>
      </c>
      <c r="M312" s="70">
        <f>L312/F312-1</f>
        <v>-0.94444444444444442</v>
      </c>
      <c r="N312" s="70">
        <f>L312/I312-1</f>
        <v>49.251256281407038</v>
      </c>
      <c r="Q312" s="123">
        <f>Q300</f>
        <v>24600</v>
      </c>
      <c r="R312" s="123">
        <f>R300</f>
        <v>21766</v>
      </c>
      <c r="S312" s="123">
        <f>S300</f>
        <v>50000</v>
      </c>
      <c r="T312" s="123">
        <f>T300</f>
        <v>25400</v>
      </c>
      <c r="U312" s="155">
        <f>S312/Q312-1</f>
        <v>1.0325203252032522</v>
      </c>
      <c r="Y312" s="123">
        <f>Y300</f>
        <v>50000</v>
      </c>
      <c r="AA312" s="123">
        <f>AA300</f>
        <v>60000</v>
      </c>
      <c r="AB312" s="123">
        <f>AB300</f>
        <v>10000</v>
      </c>
      <c r="AE312" s="123">
        <f>AE300</f>
        <v>60000</v>
      </c>
      <c r="AF312" s="182"/>
      <c r="AH312" s="123">
        <f>AH300</f>
        <v>55195.06</v>
      </c>
      <c r="AI312" s="17">
        <f t="shared" si="1454"/>
        <v>0.91991766666666663</v>
      </c>
      <c r="AK312" s="123">
        <f>AK300</f>
        <v>60500</v>
      </c>
      <c r="AL312" s="193">
        <f t="shared" si="1455"/>
        <v>6.05</v>
      </c>
      <c r="AM312" s="17">
        <f t="shared" si="1456"/>
        <v>1.0083333333333333</v>
      </c>
      <c r="AN312" s="17">
        <f t="shared" si="1457"/>
        <v>1.0961125868873047</v>
      </c>
      <c r="AS312" s="123">
        <f>AS300</f>
        <v>60500</v>
      </c>
      <c r="AU312" s="123">
        <f>AU300</f>
        <v>0</v>
      </c>
      <c r="AV312" s="123">
        <f>AV300</f>
        <v>60500</v>
      </c>
      <c r="AX312" s="123">
        <f>AX300</f>
        <v>0</v>
      </c>
      <c r="AY312" s="123">
        <f>AY300</f>
        <v>60500</v>
      </c>
      <c r="BA312" s="123">
        <f>BA300</f>
        <v>0</v>
      </c>
      <c r="BB312" s="123">
        <f>BB300</f>
        <v>60500</v>
      </c>
      <c r="BD312" s="123">
        <f>BD300</f>
        <v>-15000</v>
      </c>
      <c r="BE312" s="123">
        <f>BE300</f>
        <v>45500</v>
      </c>
      <c r="BG312" s="123">
        <f>BG300</f>
        <v>0</v>
      </c>
      <c r="BH312" s="123">
        <f>BH300</f>
        <v>45500</v>
      </c>
      <c r="BJ312" s="123">
        <f>BJ300</f>
        <v>45051.06</v>
      </c>
      <c r="BK312" s="236">
        <f t="shared" ref="BK312:BK313" si="1462">BJ312/BH312</f>
        <v>0.99013318681318674</v>
      </c>
      <c r="BM312" s="123">
        <f>BM300</f>
        <v>40000</v>
      </c>
      <c r="BN312" s="236">
        <f t="shared" si="1459"/>
        <v>0.88788143941563202</v>
      </c>
      <c r="BO312" s="236">
        <f t="shared" si="1460"/>
        <v>0.87912087912087911</v>
      </c>
      <c r="BQ312" s="123">
        <f>BQ300</f>
        <v>0</v>
      </c>
      <c r="BR312" s="123">
        <f>BR300</f>
        <v>40000</v>
      </c>
      <c r="BT312" s="123">
        <f>BT300</f>
        <v>0</v>
      </c>
      <c r="BU312" s="123">
        <f>BU300</f>
        <v>40000</v>
      </c>
      <c r="BW312" s="123">
        <f>BW300</f>
        <v>0</v>
      </c>
      <c r="BX312" s="123">
        <f>BX300</f>
        <v>40000</v>
      </c>
      <c r="BZ312" s="123">
        <f>BZ300</f>
        <v>0</v>
      </c>
      <c r="CA312" s="123">
        <f>CA300</f>
        <v>40000</v>
      </c>
      <c r="CC312" s="123">
        <f>CC300</f>
        <v>0</v>
      </c>
      <c r="CD312" s="123">
        <f>CD300</f>
        <v>40000</v>
      </c>
      <c r="CF312" s="123">
        <f>CF300</f>
        <v>0</v>
      </c>
      <c r="CG312" s="123">
        <f>CG300</f>
        <v>40000</v>
      </c>
      <c r="CI312" s="123">
        <f>CI300</f>
        <v>0</v>
      </c>
      <c r="CJ312" s="123">
        <f>CJ300</f>
        <v>40000</v>
      </c>
      <c r="CL312" s="319">
        <f>CL300</f>
        <v>0</v>
      </c>
      <c r="CM312" s="123">
        <f>CM300</f>
        <v>40000</v>
      </c>
      <c r="CO312" s="123">
        <f>CO300</f>
        <v>0</v>
      </c>
      <c r="CP312" s="123">
        <f>CP300</f>
        <v>40000</v>
      </c>
      <c r="CR312" s="123">
        <f>CR300</f>
        <v>0</v>
      </c>
      <c r="CS312" s="123">
        <f>CS300</f>
        <v>40000</v>
      </c>
      <c r="CU312" s="123">
        <f>CU300</f>
        <v>12000</v>
      </c>
      <c r="CV312" s="123">
        <f>CV300</f>
        <v>52000</v>
      </c>
      <c r="CX312" s="123">
        <f>CX300</f>
        <v>0</v>
      </c>
      <c r="CY312" s="123">
        <f>CY300</f>
        <v>52000</v>
      </c>
      <c r="DA312" s="123">
        <f>DA300</f>
        <v>51777.52</v>
      </c>
      <c r="DC312" s="123">
        <f>DC300</f>
        <v>50000</v>
      </c>
      <c r="DE312" s="123">
        <f>DE300</f>
        <v>0</v>
      </c>
      <c r="DF312" s="123">
        <f>DF300</f>
        <v>50000</v>
      </c>
      <c r="DH312" s="123">
        <f>DH300</f>
        <v>0</v>
      </c>
      <c r="DI312" s="123">
        <f>DI300</f>
        <v>50000</v>
      </c>
      <c r="DK312" s="123">
        <f>DK300</f>
        <v>0</v>
      </c>
      <c r="DL312" s="123">
        <f>DL300</f>
        <v>50000</v>
      </c>
      <c r="DN312" s="123">
        <f>DN300</f>
        <v>-8000</v>
      </c>
      <c r="DO312" s="123">
        <f>DO300</f>
        <v>42000</v>
      </c>
      <c r="DQ312" s="123">
        <f>DQ300</f>
        <v>0</v>
      </c>
      <c r="DR312" s="123">
        <f>DR300</f>
        <v>42000</v>
      </c>
      <c r="DT312" s="123">
        <f>DT300</f>
        <v>0</v>
      </c>
      <c r="DU312" s="123">
        <f>DU300</f>
        <v>42000</v>
      </c>
      <c r="DW312" s="123">
        <f>DW300</f>
        <v>0</v>
      </c>
      <c r="DX312" s="123">
        <f>DX300</f>
        <v>42000</v>
      </c>
      <c r="DZ312" s="123">
        <f>DZ300</f>
        <v>2000</v>
      </c>
      <c r="EA312" s="123">
        <f>EA300</f>
        <v>44000</v>
      </c>
      <c r="EC312" s="123">
        <f>EC300</f>
        <v>15000</v>
      </c>
      <c r="ED312" s="123">
        <f>ED300</f>
        <v>59000</v>
      </c>
      <c r="EF312" s="123">
        <f>EF300</f>
        <v>22980</v>
      </c>
      <c r="EG312" s="123">
        <f>EG300</f>
        <v>81980</v>
      </c>
      <c r="EI312" s="123">
        <f>EI300</f>
        <v>81367.87</v>
      </c>
      <c r="EK312" s="123">
        <f>EK300</f>
        <v>60000</v>
      </c>
      <c r="EM312" s="123">
        <f>EM300</f>
        <v>0</v>
      </c>
      <c r="EN312" s="123">
        <f>EN300</f>
        <v>60000</v>
      </c>
      <c r="EP312" s="123">
        <f>EP300</f>
        <v>0</v>
      </c>
      <c r="EQ312" s="123">
        <f>EQ300</f>
        <v>60000</v>
      </c>
      <c r="ES312" s="123">
        <f>ES300</f>
        <v>0</v>
      </c>
      <c r="ET312" s="123">
        <f>ET300</f>
        <v>60000</v>
      </c>
      <c r="EV312" s="123">
        <f>EV300</f>
        <v>0</v>
      </c>
      <c r="EW312" s="123">
        <f>EW300</f>
        <v>60000</v>
      </c>
      <c r="EY312" s="123">
        <f>EY300</f>
        <v>-10200</v>
      </c>
      <c r="EZ312" s="123">
        <f>EZ300</f>
        <v>49800</v>
      </c>
      <c r="FB312" s="123">
        <f>FB300</f>
        <v>-15000</v>
      </c>
      <c r="FC312" s="123">
        <f>FC300</f>
        <v>34800</v>
      </c>
      <c r="FE312" s="123">
        <f>FE300</f>
        <v>0</v>
      </c>
      <c r="FF312" s="123">
        <f>FF300</f>
        <v>34800</v>
      </c>
      <c r="FH312" s="123">
        <f>FH300</f>
        <v>0</v>
      </c>
      <c r="FI312" s="123">
        <f>FI300</f>
        <v>34800</v>
      </c>
      <c r="FK312" s="123">
        <f>FK300</f>
        <v>38000</v>
      </c>
      <c r="FL312" s="123">
        <f>FL300</f>
        <v>72800</v>
      </c>
      <c r="FN312" s="123">
        <f>FN300</f>
        <v>0</v>
      </c>
      <c r="FO312" s="123">
        <f>FO300</f>
        <v>72800</v>
      </c>
      <c r="FQ312" s="123">
        <v>560</v>
      </c>
      <c r="FR312" s="123">
        <v>73360</v>
      </c>
      <c r="FT312" s="123">
        <f>FT300</f>
        <v>73355.58</v>
      </c>
      <c r="FV312" s="123">
        <f>FV300</f>
        <v>75000</v>
      </c>
      <c r="FW312" s="235">
        <f t="shared" si="1461"/>
        <v>1.0224171085553411</v>
      </c>
      <c r="FY312" s="123">
        <f>FY300</f>
        <v>0</v>
      </c>
      <c r="FZ312" s="123">
        <f>FZ300</f>
        <v>75000</v>
      </c>
      <c r="GB312" s="123">
        <f>GB300</f>
        <v>0</v>
      </c>
      <c r="GC312" s="123">
        <f>GC300</f>
        <v>75000</v>
      </c>
      <c r="GE312" s="123">
        <f>GE300</f>
        <v>0</v>
      </c>
      <c r="GF312" s="123">
        <f>GF300</f>
        <v>75000</v>
      </c>
      <c r="GH312" s="123">
        <f>GH300</f>
        <v>-8000</v>
      </c>
      <c r="GI312" s="123">
        <f>GI300</f>
        <v>67000</v>
      </c>
      <c r="GK312" s="123">
        <f>GK300</f>
        <v>0</v>
      </c>
      <c r="GL312" s="123">
        <f>GL300</f>
        <v>67000</v>
      </c>
      <c r="GN312" s="123">
        <f>GN300</f>
        <v>0</v>
      </c>
      <c r="GO312" s="123">
        <f>GO300</f>
        <v>67000</v>
      </c>
      <c r="GQ312" s="123">
        <f>GQ300</f>
        <v>0</v>
      </c>
      <c r="GR312" s="123">
        <f>GR300</f>
        <v>67000</v>
      </c>
      <c r="GT312" s="123">
        <f>GT300</f>
        <v>0</v>
      </c>
      <c r="GU312" s="123">
        <f>GU300</f>
        <v>67000</v>
      </c>
      <c r="GW312" s="123">
        <f>GW300</f>
        <v>-4200</v>
      </c>
      <c r="GX312" s="123">
        <f>GX300</f>
        <v>62800</v>
      </c>
      <c r="GZ312" s="123">
        <f>GZ300</f>
        <v>0</v>
      </c>
      <c r="HA312" s="431">
        <f>HA300</f>
        <v>62800</v>
      </c>
      <c r="HC312" s="123">
        <f>HC300</f>
        <v>44009.32</v>
      </c>
      <c r="HE312" s="123">
        <f>HE300</f>
        <v>50000</v>
      </c>
      <c r="HF312" s="235">
        <f>HE312/HC312</f>
        <v>1.1361229848586618</v>
      </c>
    </row>
    <row r="313" spans="1:214" ht="18" customHeight="1" thickTop="1" thickBot="1">
      <c r="A313" s="75" t="s">
        <v>76</v>
      </c>
      <c r="B313" s="76" t="s">
        <v>277</v>
      </c>
      <c r="C313" s="285" t="s">
        <v>412</v>
      </c>
      <c r="D313" s="167"/>
      <c r="E313" s="168"/>
      <c r="F313" s="167"/>
      <c r="G313" s="168"/>
      <c r="H313" s="167"/>
      <c r="I313" s="167"/>
      <c r="J313" s="169"/>
      <c r="K313" s="170"/>
      <c r="L313" s="171"/>
      <c r="M313" s="172"/>
      <c r="N313" s="172"/>
      <c r="O313" s="173"/>
      <c r="P313" s="173"/>
      <c r="Q313" s="171"/>
      <c r="R313" s="171"/>
      <c r="S313" s="171"/>
      <c r="T313" s="171"/>
      <c r="U313" s="156"/>
      <c r="V313" s="173"/>
      <c r="W313" s="173"/>
      <c r="X313" s="173"/>
      <c r="Y313" s="124">
        <f>Y310</f>
        <v>8000</v>
      </c>
      <c r="AA313" s="124">
        <f>AA310</f>
        <v>0</v>
      </c>
      <c r="AB313" s="124">
        <f>AB310</f>
        <v>-8000</v>
      </c>
      <c r="AE313" s="124">
        <f>AE310</f>
        <v>0</v>
      </c>
      <c r="AF313" s="182"/>
      <c r="AH313" s="124">
        <f>AH310</f>
        <v>0</v>
      </c>
      <c r="AI313" s="17" t="e">
        <f t="shared" si="1454"/>
        <v>#DIV/0!</v>
      </c>
      <c r="AK313" s="124">
        <f>AK310</f>
        <v>0</v>
      </c>
      <c r="AL313" s="193" t="e">
        <f t="shared" si="1455"/>
        <v>#DIV/0!</v>
      </c>
      <c r="AM313" s="17" t="e">
        <f t="shared" si="1456"/>
        <v>#DIV/0!</v>
      </c>
      <c r="AN313" s="17" t="e">
        <f t="shared" si="1457"/>
        <v>#DIV/0!</v>
      </c>
      <c r="AS313" s="124">
        <f>AS310</f>
        <v>0</v>
      </c>
      <c r="AU313" s="124">
        <f>AU310</f>
        <v>0</v>
      </c>
      <c r="AV313" s="124">
        <f>AV310</f>
        <v>0</v>
      </c>
      <c r="AX313" s="124">
        <f>AX310</f>
        <v>0</v>
      </c>
      <c r="AY313" s="124">
        <f>AY310</f>
        <v>0</v>
      </c>
      <c r="BA313" s="124">
        <f>BA310</f>
        <v>0</v>
      </c>
      <c r="BB313" s="124">
        <f>BB310</f>
        <v>0</v>
      </c>
      <c r="BD313" s="124">
        <f>BD310</f>
        <v>0</v>
      </c>
      <c r="BE313" s="124">
        <f>BE310</f>
        <v>0</v>
      </c>
      <c r="BG313" s="124">
        <f>BG310</f>
        <v>0</v>
      </c>
      <c r="BH313" s="124">
        <f>BH310</f>
        <v>0</v>
      </c>
      <c r="BJ313" s="124">
        <f>BJ310</f>
        <v>0</v>
      </c>
      <c r="BK313" s="237" t="e">
        <f t="shared" si="1462"/>
        <v>#DIV/0!</v>
      </c>
      <c r="BM313" s="124">
        <f>BM310</f>
        <v>0</v>
      </c>
      <c r="BN313" s="237" t="e">
        <f t="shared" si="1459"/>
        <v>#DIV/0!</v>
      </c>
      <c r="BO313" s="237" t="e">
        <f t="shared" si="1460"/>
        <v>#DIV/0!</v>
      </c>
      <c r="BQ313" s="124">
        <f>BQ310</f>
        <v>0</v>
      </c>
      <c r="BR313" s="124">
        <f>BR310</f>
        <v>0</v>
      </c>
      <c r="BT313" s="124">
        <f>BT310</f>
        <v>0</v>
      </c>
      <c r="BU313" s="124">
        <f>BU310</f>
        <v>0</v>
      </c>
      <c r="BW313" s="124">
        <f>BW310</f>
        <v>0</v>
      </c>
      <c r="BX313" s="124">
        <f>BX310</f>
        <v>0</v>
      </c>
      <c r="BZ313" s="124">
        <f>BZ310</f>
        <v>0</v>
      </c>
      <c r="CA313" s="124">
        <f>CA310</f>
        <v>0</v>
      </c>
      <c r="CC313" s="124">
        <f>CC310</f>
        <v>0</v>
      </c>
      <c r="CD313" s="124">
        <f>CD310</f>
        <v>0</v>
      </c>
      <c r="CF313" s="124">
        <f>CF310</f>
        <v>0</v>
      </c>
      <c r="CG313" s="124">
        <f>CG310</f>
        <v>0</v>
      </c>
      <c r="CI313" s="124">
        <f>CI310</f>
        <v>0</v>
      </c>
      <c r="CJ313" s="124">
        <f>CJ310</f>
        <v>0</v>
      </c>
      <c r="CL313" s="319">
        <f>CL310</f>
        <v>0</v>
      </c>
      <c r="CM313" s="124">
        <f>CM310</f>
        <v>0</v>
      </c>
      <c r="CO313" s="124">
        <f>CO310</f>
        <v>0</v>
      </c>
      <c r="CP313" s="124">
        <f>CP310</f>
        <v>0</v>
      </c>
      <c r="CR313" s="124">
        <f>CR310</f>
        <v>0</v>
      </c>
      <c r="CS313" s="124">
        <f>CS310</f>
        <v>0</v>
      </c>
      <c r="CU313" s="124">
        <f>CU310</f>
        <v>0</v>
      </c>
      <c r="CV313" s="124">
        <f>CV310</f>
        <v>0</v>
      </c>
      <c r="CX313" s="124">
        <f>CX310</f>
        <v>0</v>
      </c>
      <c r="CY313" s="124">
        <f>CY310</f>
        <v>0</v>
      </c>
      <c r="DA313" s="124">
        <f>DA310</f>
        <v>0</v>
      </c>
      <c r="DC313" s="124">
        <f>DC310</f>
        <v>0</v>
      </c>
      <c r="DE313" s="124">
        <f>DE310</f>
        <v>0</v>
      </c>
      <c r="DF313" s="124">
        <f>DF310</f>
        <v>0</v>
      </c>
      <c r="DH313" s="124">
        <f>DH310</f>
        <v>0</v>
      </c>
      <c r="DI313" s="124">
        <f>DI310</f>
        <v>0</v>
      </c>
      <c r="DK313" s="124">
        <f>DK310</f>
        <v>0</v>
      </c>
      <c r="DL313" s="124">
        <f>DL310</f>
        <v>0</v>
      </c>
      <c r="DN313" s="124">
        <f>DN310</f>
        <v>0</v>
      </c>
      <c r="DO313" s="124">
        <f>DO310</f>
        <v>0</v>
      </c>
      <c r="DQ313" s="124">
        <f>DQ310</f>
        <v>0</v>
      </c>
      <c r="DR313" s="124">
        <f>DR310</f>
        <v>0</v>
      </c>
      <c r="DT313" s="124">
        <f>DT310</f>
        <v>0</v>
      </c>
      <c r="DU313" s="124">
        <f>DU310</f>
        <v>0</v>
      </c>
      <c r="DW313" s="124">
        <f>DW310</f>
        <v>0</v>
      </c>
      <c r="DX313" s="124">
        <f>DX310</f>
        <v>0</v>
      </c>
      <c r="DZ313" s="124">
        <f>DZ310</f>
        <v>0</v>
      </c>
      <c r="EA313" s="124">
        <f>EA310</f>
        <v>0</v>
      </c>
      <c r="EC313" s="124">
        <f>EC310</f>
        <v>0</v>
      </c>
      <c r="ED313" s="124">
        <f>ED310</f>
        <v>0</v>
      </c>
      <c r="EF313" s="124">
        <f>EF310</f>
        <v>0</v>
      </c>
      <c r="EG313" s="124">
        <f>EG310</f>
        <v>0</v>
      </c>
      <c r="EI313" s="124">
        <f>EI310</f>
        <v>0</v>
      </c>
      <c r="EK313" s="124">
        <f>EK310</f>
        <v>0</v>
      </c>
      <c r="EM313" s="124">
        <f>EM310</f>
        <v>0</v>
      </c>
      <c r="EN313" s="124">
        <f>EN310</f>
        <v>0</v>
      </c>
      <c r="EP313" s="124">
        <f>EP310</f>
        <v>0</v>
      </c>
      <c r="EQ313" s="124">
        <f>EQ310</f>
        <v>0</v>
      </c>
      <c r="ES313" s="124">
        <f>ES310</f>
        <v>0</v>
      </c>
      <c r="ET313" s="124">
        <f>ET310</f>
        <v>0</v>
      </c>
      <c r="EV313" s="124">
        <f>EV310</f>
        <v>0</v>
      </c>
      <c r="EW313" s="124">
        <f>EW310</f>
        <v>0</v>
      </c>
      <c r="EY313" s="124">
        <f>EY310</f>
        <v>0</v>
      </c>
      <c r="EZ313" s="124">
        <f>EZ310</f>
        <v>0</v>
      </c>
      <c r="FB313" s="124">
        <f>FB310</f>
        <v>0</v>
      </c>
      <c r="FC313" s="124">
        <f>FC310</f>
        <v>0</v>
      </c>
      <c r="FE313" s="124">
        <f>FE310</f>
        <v>0</v>
      </c>
      <c r="FF313" s="124">
        <f>FF310</f>
        <v>0</v>
      </c>
      <c r="FH313" s="124">
        <f>FH310</f>
        <v>0</v>
      </c>
      <c r="FI313" s="124">
        <f>FI310</f>
        <v>0</v>
      </c>
      <c r="FK313" s="124">
        <f>FK310</f>
        <v>0</v>
      </c>
      <c r="FL313" s="124">
        <f>FL310</f>
        <v>0</v>
      </c>
      <c r="FN313" s="124">
        <f>FN310</f>
        <v>0</v>
      </c>
      <c r="FO313" s="124">
        <f>FO310</f>
        <v>0</v>
      </c>
      <c r="FQ313" s="124">
        <v>0</v>
      </c>
      <c r="FR313" s="124">
        <v>0</v>
      </c>
      <c r="FT313" s="124">
        <f>FT310</f>
        <v>0</v>
      </c>
      <c r="FV313" s="124">
        <f>FV310</f>
        <v>0</v>
      </c>
      <c r="FW313" s="235" t="e">
        <f t="shared" si="1461"/>
        <v>#DIV/0!</v>
      </c>
      <c r="FY313" s="124">
        <f>FY310</f>
        <v>0</v>
      </c>
      <c r="FZ313" s="124">
        <f>FZ310</f>
        <v>0</v>
      </c>
      <c r="GB313" s="124">
        <f>GB310</f>
        <v>0</v>
      </c>
      <c r="GC313" s="124">
        <f>GC310</f>
        <v>0</v>
      </c>
      <c r="GE313" s="124">
        <f>GE310</f>
        <v>0</v>
      </c>
      <c r="GF313" s="124">
        <f>GF310</f>
        <v>0</v>
      </c>
      <c r="GH313" s="124">
        <f>GH310</f>
        <v>0</v>
      </c>
      <c r="GI313" s="124">
        <f>GI310</f>
        <v>0</v>
      </c>
      <c r="GK313" s="124">
        <f>GK310</f>
        <v>0</v>
      </c>
      <c r="GL313" s="124">
        <f>GL310</f>
        <v>0</v>
      </c>
      <c r="GN313" s="124">
        <f>GN310</f>
        <v>0</v>
      </c>
      <c r="GO313" s="124">
        <f>GO310</f>
        <v>0</v>
      </c>
      <c r="GQ313" s="124">
        <f>GQ310</f>
        <v>0</v>
      </c>
      <c r="GR313" s="124">
        <f>GR310</f>
        <v>0</v>
      </c>
      <c r="GT313" s="124">
        <f>GT310</f>
        <v>0</v>
      </c>
      <c r="GU313" s="124">
        <f>GU310</f>
        <v>0</v>
      </c>
      <c r="GW313" s="124">
        <f>GW310</f>
        <v>0</v>
      </c>
      <c r="GX313" s="124">
        <f>GX310</f>
        <v>0</v>
      </c>
      <c r="GZ313" s="124">
        <f>GZ310</f>
        <v>0</v>
      </c>
      <c r="HA313" s="432">
        <f>HA310</f>
        <v>0</v>
      </c>
      <c r="HC313" s="124">
        <f>HC310</f>
        <v>0</v>
      </c>
      <c r="HE313" s="124">
        <f>HE310</f>
        <v>0</v>
      </c>
      <c r="HF313" s="235" t="e">
        <f>HE313/HC313</f>
        <v>#DIV/0!</v>
      </c>
    </row>
    <row r="314" spans="1:214" ht="15.75" customHeight="1" outlineLevel="1" thickTop="1">
      <c r="A314" s="13" t="s">
        <v>601</v>
      </c>
      <c r="B314" s="10" t="s">
        <v>146</v>
      </c>
      <c r="C314" s="4" t="s">
        <v>147</v>
      </c>
      <c r="D314" s="36"/>
      <c r="E314" s="51"/>
      <c r="F314" s="36"/>
      <c r="G314" s="51"/>
      <c r="H314" s="36"/>
      <c r="I314" s="36"/>
      <c r="J314" s="14"/>
      <c r="L314" s="121"/>
      <c r="M314" s="176"/>
      <c r="N314" s="176"/>
      <c r="Q314" s="121"/>
      <c r="R314" s="121"/>
      <c r="S314" s="121"/>
      <c r="T314" s="121"/>
      <c r="U314" s="223"/>
      <c r="V314"/>
      <c r="Y314" s="121"/>
      <c r="AA314" s="121"/>
      <c r="AB314" s="121"/>
      <c r="AE314" s="121"/>
      <c r="AF314" s="187"/>
      <c r="AH314" s="121"/>
      <c r="AI314" s="224"/>
      <c r="AK314" s="121"/>
      <c r="AL314" s="193"/>
      <c r="AM314" s="224"/>
      <c r="AN314" s="224"/>
      <c r="AP314"/>
      <c r="AS314" s="121"/>
      <c r="AU314" s="121"/>
      <c r="AV314" s="121"/>
      <c r="AX314" s="121"/>
      <c r="AY314" s="121"/>
      <c r="BA314" s="121"/>
      <c r="BB314" s="121"/>
      <c r="BD314" s="121"/>
      <c r="BE314" s="121"/>
      <c r="BG314" s="121"/>
      <c r="BH314" s="121"/>
      <c r="BJ314" s="121"/>
      <c r="BK314" s="291"/>
      <c r="BM314" s="121"/>
      <c r="BN314" s="291"/>
      <c r="BO314" s="291"/>
      <c r="BQ314" s="121"/>
      <c r="BR314" s="121"/>
      <c r="BT314" s="121"/>
      <c r="BU314" s="121"/>
      <c r="BW314" s="121"/>
      <c r="BX314" s="121"/>
      <c r="BZ314" s="121"/>
      <c r="CA314" s="121"/>
      <c r="CC314" s="121"/>
      <c r="CD314" s="121"/>
      <c r="CF314" s="121"/>
      <c r="CG314" s="121"/>
      <c r="CI314" s="121"/>
      <c r="CJ314" s="121"/>
      <c r="CL314" s="121"/>
      <c r="CM314" s="121"/>
      <c r="CO314" s="121"/>
      <c r="CP314" s="121"/>
      <c r="CR314" s="121"/>
      <c r="CS314" s="121"/>
      <c r="CU314" s="121"/>
      <c r="CV314" s="121"/>
      <c r="CX314" s="121"/>
      <c r="CY314" s="121"/>
      <c r="DA314" s="121"/>
      <c r="DC314" s="121"/>
      <c r="DE314" s="299">
        <v>5000</v>
      </c>
      <c r="DF314" s="15">
        <f t="shared" ref="DF314:DF317" si="1463">DC314+DE314</f>
        <v>5000</v>
      </c>
      <c r="DH314" s="36"/>
      <c r="DI314" s="15">
        <f t="shared" ref="DI314" si="1464">DF314+DH314</f>
        <v>5000</v>
      </c>
      <c r="DK314" s="36"/>
      <c r="DL314" s="15">
        <f t="shared" ref="DL314" si="1465">DI314+DK314</f>
        <v>5000</v>
      </c>
      <c r="DN314" s="36"/>
      <c r="DO314" s="15">
        <f t="shared" ref="DO314" si="1466">DL314+DN314</f>
        <v>5000</v>
      </c>
      <c r="DQ314" s="36"/>
      <c r="DR314" s="15">
        <f t="shared" ref="DR314" si="1467">DO314+DQ314</f>
        <v>5000</v>
      </c>
      <c r="DT314" s="299">
        <v>7200</v>
      </c>
      <c r="DU314" s="15">
        <f t="shared" ref="DU314" si="1468">DR314+DT314</f>
        <v>12200</v>
      </c>
      <c r="DW314" s="36"/>
      <c r="DX314" s="15">
        <f t="shared" ref="DX314" si="1469">DU314+DW314</f>
        <v>12200</v>
      </c>
      <c r="DZ314" s="36"/>
      <c r="EA314" s="15">
        <f t="shared" ref="EA314" si="1470">DX314+DZ314</f>
        <v>12200</v>
      </c>
      <c r="EC314" s="299">
        <v>11350</v>
      </c>
      <c r="ED314" s="15">
        <f t="shared" ref="ED314" si="1471">EA314+EC314</f>
        <v>23550</v>
      </c>
      <c r="EF314" s="36"/>
      <c r="EG314" s="15">
        <f t="shared" ref="EG314" si="1472">ED314+EF314</f>
        <v>23550</v>
      </c>
      <c r="EI314" s="36">
        <v>23532.57</v>
      </c>
      <c r="EK314" s="36">
        <v>25000</v>
      </c>
      <c r="EM314" s="36"/>
      <c r="EN314" s="15">
        <f t="shared" ref="EN314" si="1473">EK314+EM314</f>
        <v>25000</v>
      </c>
      <c r="EP314" s="36"/>
      <c r="EQ314" s="15">
        <f t="shared" ref="EQ314" si="1474">EN314+EP314</f>
        <v>25000</v>
      </c>
      <c r="ES314" s="36"/>
      <c r="ET314" s="15">
        <f t="shared" ref="ET314" si="1475">EQ314+ES314</f>
        <v>25000</v>
      </c>
      <c r="EV314" s="36"/>
      <c r="EW314" s="15">
        <f t="shared" ref="EW314" si="1476">ET314+EV314</f>
        <v>25000</v>
      </c>
      <c r="EY314" s="36"/>
      <c r="EZ314" s="15">
        <f t="shared" ref="EZ314" si="1477">EW314+EY314</f>
        <v>25000</v>
      </c>
      <c r="FB314" s="36"/>
      <c r="FC314" s="15">
        <f t="shared" ref="FC314" si="1478">EZ314+FB314</f>
        <v>25000</v>
      </c>
      <c r="FE314" s="36"/>
      <c r="FF314" s="15">
        <f t="shared" ref="FF314" si="1479">FC314+FE314</f>
        <v>25000</v>
      </c>
      <c r="FH314" s="36"/>
      <c r="FI314" s="15">
        <f t="shared" ref="FI314" si="1480">FF314+FH314</f>
        <v>25000</v>
      </c>
      <c r="FK314" s="36"/>
      <c r="FL314" s="15">
        <f t="shared" ref="FL314" si="1481">FI314+FK314</f>
        <v>25000</v>
      </c>
      <c r="FN314" s="299">
        <v>-25000</v>
      </c>
      <c r="FO314" s="15">
        <f t="shared" ref="FO314:FO315" si="1482">FL314+FN314</f>
        <v>0</v>
      </c>
      <c r="FQ314" s="36"/>
      <c r="FR314" s="15">
        <v>0</v>
      </c>
      <c r="FT314" s="36"/>
      <c r="FV314" s="36"/>
      <c r="FY314" s="36"/>
      <c r="FZ314" s="15">
        <f>FV314+FY314</f>
        <v>0</v>
      </c>
      <c r="GB314" s="36"/>
      <c r="GC314" s="15">
        <f>FZ314+GB314</f>
        <v>0</v>
      </c>
      <c r="GE314" s="36"/>
      <c r="GF314" s="15">
        <f>GC314+GE314</f>
        <v>0</v>
      </c>
      <c r="GH314" s="36"/>
      <c r="GI314" s="15">
        <f>GF314+GH314</f>
        <v>0</v>
      </c>
      <c r="GK314" s="36"/>
      <c r="GL314" s="15">
        <f>GI314+GK314</f>
        <v>0</v>
      </c>
      <c r="GN314" s="36"/>
      <c r="GO314" s="15">
        <f>GL314+GN314</f>
        <v>0</v>
      </c>
      <c r="GQ314" s="36"/>
      <c r="GR314" s="15">
        <f>GO314+GQ314</f>
        <v>0</v>
      </c>
      <c r="GT314" s="36"/>
      <c r="GU314" s="15">
        <f>GR314+GT314</f>
        <v>0</v>
      </c>
      <c r="GW314" s="36"/>
      <c r="GX314" s="15">
        <f>GU314+GW314</f>
        <v>0</v>
      </c>
      <c r="GZ314" s="36"/>
      <c r="HA314" s="189">
        <f>GX314+GZ314</f>
        <v>0</v>
      </c>
      <c r="HE314" s="36"/>
    </row>
    <row r="315" spans="1:214" ht="15.75" customHeight="1" outlineLevel="1">
      <c r="A315" s="13" t="s">
        <v>601</v>
      </c>
      <c r="B315" s="10" t="s">
        <v>150</v>
      </c>
      <c r="C315" s="4" t="s">
        <v>151</v>
      </c>
      <c r="D315" s="36"/>
      <c r="E315" s="51"/>
      <c r="F315" s="36"/>
      <c r="G315" s="51"/>
      <c r="H315" s="36"/>
      <c r="I315" s="36"/>
      <c r="J315" s="14"/>
      <c r="L315" s="121"/>
      <c r="M315" s="176"/>
      <c r="N315" s="176"/>
      <c r="Q315" s="121"/>
      <c r="R315" s="121"/>
      <c r="S315" s="121"/>
      <c r="T315" s="121"/>
      <c r="U315" s="223"/>
      <c r="V315"/>
      <c r="Y315" s="121"/>
      <c r="AA315" s="121"/>
      <c r="AB315" s="121"/>
      <c r="AE315" s="121"/>
      <c r="AF315" s="187"/>
      <c r="AH315" s="121"/>
      <c r="AI315" s="224"/>
      <c r="AK315" s="121"/>
      <c r="AL315" s="193"/>
      <c r="AM315" s="224"/>
      <c r="AN315" s="224"/>
      <c r="AP315"/>
      <c r="AS315" s="121"/>
      <c r="AU315" s="121"/>
      <c r="AV315" s="121"/>
      <c r="AX315" s="121"/>
      <c r="AY315" s="121"/>
      <c r="BA315" s="121"/>
      <c r="BB315" s="121"/>
      <c r="BD315" s="121"/>
      <c r="BE315" s="121"/>
      <c r="BG315" s="121"/>
      <c r="BH315" s="121"/>
      <c r="BJ315" s="121"/>
      <c r="BK315" s="291"/>
      <c r="BM315" s="121"/>
      <c r="BN315" s="291"/>
      <c r="BO315" s="291"/>
      <c r="BQ315" s="121"/>
      <c r="BR315" s="121"/>
      <c r="BT315" s="121"/>
      <c r="BU315" s="121"/>
      <c r="BW315" s="121"/>
      <c r="BX315" s="121"/>
      <c r="BZ315" s="121"/>
      <c r="CA315" s="121"/>
      <c r="CC315" s="121"/>
      <c r="CD315" s="121"/>
      <c r="CF315" s="121"/>
      <c r="CG315" s="121"/>
      <c r="CI315" s="121"/>
      <c r="CJ315" s="121"/>
      <c r="CL315" s="121"/>
      <c r="CM315" s="121"/>
      <c r="CO315" s="121"/>
      <c r="CP315" s="121"/>
      <c r="CR315" s="121"/>
      <c r="CS315" s="121"/>
      <c r="CU315" s="121"/>
      <c r="CV315" s="121"/>
      <c r="CX315" s="121"/>
      <c r="CY315" s="121"/>
      <c r="DA315" s="121"/>
      <c r="DC315" s="121"/>
      <c r="DE315" s="299"/>
      <c r="DF315" s="15"/>
      <c r="DH315" s="36"/>
      <c r="DI315" s="15"/>
      <c r="DK315" s="36"/>
      <c r="DL315" s="15"/>
      <c r="DN315" s="36"/>
      <c r="DO315" s="15"/>
      <c r="DQ315" s="36"/>
      <c r="DR315" s="15"/>
      <c r="DT315" s="299"/>
      <c r="DU315" s="15"/>
      <c r="DW315" s="36"/>
      <c r="DX315" s="15"/>
      <c r="DZ315" s="36"/>
      <c r="EA315" s="15"/>
      <c r="EC315" s="299"/>
      <c r="ED315" s="15"/>
      <c r="EF315" s="36"/>
      <c r="EG315" s="15"/>
      <c r="EI315" s="36"/>
      <c r="EK315" s="36"/>
      <c r="EM315" s="36"/>
      <c r="EN315" s="15"/>
      <c r="EP315" s="36"/>
      <c r="EQ315" s="15"/>
      <c r="ES315" s="36"/>
      <c r="ET315" s="15"/>
      <c r="EV315" s="36"/>
      <c r="EW315" s="15"/>
      <c r="EY315" s="36"/>
      <c r="EZ315" s="15"/>
      <c r="FB315" s="36"/>
      <c r="FC315" s="15"/>
      <c r="FE315" s="36"/>
      <c r="FF315" s="15"/>
      <c r="FH315" s="36"/>
      <c r="FI315" s="15"/>
      <c r="FK315" s="36"/>
      <c r="FL315" s="15"/>
      <c r="FN315" s="299">
        <v>25000</v>
      </c>
      <c r="FO315" s="15">
        <f t="shared" si="1482"/>
        <v>25000</v>
      </c>
      <c r="FQ315" s="36"/>
      <c r="FR315" s="15">
        <v>25000</v>
      </c>
      <c r="FT315" s="36">
        <v>23595</v>
      </c>
      <c r="FV315" s="36">
        <v>25000</v>
      </c>
      <c r="FW315" s="235">
        <f t="shared" ref="FW315:FW317" si="1483">FV315/FT315</f>
        <v>1.0595465140919686</v>
      </c>
      <c r="FY315" s="36"/>
      <c r="FZ315" s="15">
        <f>FV315+FY315</f>
        <v>25000</v>
      </c>
      <c r="GB315" s="36"/>
      <c r="GC315" s="15">
        <f>FZ315+GB315</f>
        <v>25000</v>
      </c>
      <c r="GE315" s="36"/>
      <c r="GF315" s="15">
        <f>GC315+GE315</f>
        <v>25000</v>
      </c>
      <c r="GH315" s="36"/>
      <c r="GI315" s="15">
        <f>GF315+GH315</f>
        <v>25000</v>
      </c>
      <c r="GK315" s="36"/>
      <c r="GL315" s="15">
        <f>GI315+GK315</f>
        <v>25000</v>
      </c>
      <c r="GN315" s="36"/>
      <c r="GO315" s="15">
        <f>GL315+GN315</f>
        <v>25000</v>
      </c>
      <c r="GQ315" s="36"/>
      <c r="GR315" s="15">
        <f>GO315+GQ315</f>
        <v>25000</v>
      </c>
      <c r="GT315" s="36"/>
      <c r="GU315" s="15">
        <f>GR315+GT315</f>
        <v>25000</v>
      </c>
      <c r="GW315" s="36"/>
      <c r="GX315" s="15">
        <f>GU315+GW315</f>
        <v>25000</v>
      </c>
      <c r="GZ315" s="36"/>
      <c r="HA315" s="189">
        <f>GX315+GZ315</f>
        <v>25000</v>
      </c>
      <c r="HC315" s="189">
        <v>24448</v>
      </c>
      <c r="HE315" s="36">
        <v>25000</v>
      </c>
      <c r="HF315" s="235">
        <f>HE315/HC315</f>
        <v>1.0225785340314135</v>
      </c>
    </row>
    <row r="316" spans="1:214" ht="17.25" customHeight="1" thickBot="1">
      <c r="A316" s="54" t="s">
        <v>601</v>
      </c>
      <c r="B316" s="55" t="s">
        <v>316</v>
      </c>
      <c r="C316" s="56" t="s">
        <v>602</v>
      </c>
      <c r="D316" s="36"/>
      <c r="E316" s="51"/>
      <c r="F316" s="36"/>
      <c r="G316" s="51"/>
      <c r="H316" s="36"/>
      <c r="I316" s="36"/>
      <c r="J316" s="14"/>
      <c r="L316" s="121"/>
      <c r="M316" s="176"/>
      <c r="N316" s="176"/>
      <c r="Q316" s="121"/>
      <c r="R316" s="121"/>
      <c r="S316" s="121"/>
      <c r="T316" s="121"/>
      <c r="U316" s="223"/>
      <c r="V316"/>
      <c r="Y316" s="121"/>
      <c r="AA316" s="121"/>
      <c r="AB316" s="121"/>
      <c r="AE316" s="121"/>
      <c r="AF316" s="187"/>
      <c r="AH316" s="121"/>
      <c r="AI316" s="224"/>
      <c r="AK316" s="121"/>
      <c r="AL316" s="193"/>
      <c r="AM316" s="224"/>
      <c r="AN316" s="224"/>
      <c r="AP316"/>
      <c r="AS316" s="121"/>
      <c r="AU316" s="121"/>
      <c r="AV316" s="121"/>
      <c r="AX316" s="121"/>
      <c r="AY316" s="121"/>
      <c r="BA316" s="121"/>
      <c r="BB316" s="121"/>
      <c r="BD316" s="121"/>
      <c r="BE316" s="121"/>
      <c r="BG316" s="121"/>
      <c r="BH316" s="121"/>
      <c r="BJ316" s="121"/>
      <c r="BK316" s="291"/>
      <c r="BM316" s="121"/>
      <c r="BN316" s="291"/>
      <c r="BO316" s="291"/>
      <c r="BQ316" s="121"/>
      <c r="BR316" s="121"/>
      <c r="BT316" s="121"/>
      <c r="BU316" s="121"/>
      <c r="BW316" s="121"/>
      <c r="BX316" s="121"/>
      <c r="BZ316" s="121"/>
      <c r="CA316" s="121"/>
      <c r="CC316" s="121"/>
      <c r="CD316" s="121"/>
      <c r="CF316" s="121"/>
      <c r="CG316" s="121"/>
      <c r="CI316" s="121"/>
      <c r="CJ316" s="121"/>
      <c r="CL316" s="121"/>
      <c r="CM316" s="121"/>
      <c r="CO316" s="121"/>
      <c r="CP316" s="121"/>
      <c r="CR316" s="121"/>
      <c r="CS316" s="121"/>
      <c r="CU316" s="121"/>
      <c r="CV316" s="121"/>
      <c r="CX316" s="121"/>
      <c r="CY316" s="121"/>
      <c r="DA316" s="122">
        <f>DA314</f>
        <v>0</v>
      </c>
      <c r="DC316" s="122">
        <f>DC314</f>
        <v>0</v>
      </c>
      <c r="DE316" s="122">
        <f>DE314</f>
        <v>5000</v>
      </c>
      <c r="DF316" s="122">
        <f>DF314</f>
        <v>5000</v>
      </c>
      <c r="DH316" s="122">
        <f>DH314</f>
        <v>0</v>
      </c>
      <c r="DI316" s="122">
        <f>DI314</f>
        <v>5000</v>
      </c>
      <c r="DK316" s="122">
        <f>DK314</f>
        <v>0</v>
      </c>
      <c r="DL316" s="122">
        <f>DL314</f>
        <v>5000</v>
      </c>
      <c r="DN316" s="122">
        <f>DN314</f>
        <v>0</v>
      </c>
      <c r="DO316" s="122">
        <f>DO314</f>
        <v>5000</v>
      </c>
      <c r="DQ316" s="122">
        <f>DQ314</f>
        <v>0</v>
      </c>
      <c r="DR316" s="122">
        <f>DR314</f>
        <v>5000</v>
      </c>
      <c r="DT316" s="122">
        <f>DT314</f>
        <v>7200</v>
      </c>
      <c r="DU316" s="122">
        <f>DU314</f>
        <v>12200</v>
      </c>
      <c r="DW316" s="122">
        <f>DW314</f>
        <v>0</v>
      </c>
      <c r="DX316" s="122">
        <f>DX314</f>
        <v>12200</v>
      </c>
      <c r="DZ316" s="122">
        <f>DZ314</f>
        <v>0</v>
      </c>
      <c r="EA316" s="122">
        <f>EA314</f>
        <v>12200</v>
      </c>
      <c r="EC316" s="122">
        <f>EC314</f>
        <v>11350</v>
      </c>
      <c r="ED316" s="122">
        <f>ED314</f>
        <v>23550</v>
      </c>
      <c r="EF316" s="122">
        <f>EF314</f>
        <v>0</v>
      </c>
      <c r="EG316" s="122">
        <f>EG314</f>
        <v>23550</v>
      </c>
      <c r="EI316" s="122">
        <f>EI314</f>
        <v>23532.57</v>
      </c>
      <c r="EK316" s="122">
        <f>EK314</f>
        <v>25000</v>
      </c>
      <c r="EM316" s="122">
        <f>EM314</f>
        <v>0</v>
      </c>
      <c r="EN316" s="122">
        <f>EN314</f>
        <v>25000</v>
      </c>
      <c r="EP316" s="122">
        <f>EP314</f>
        <v>0</v>
      </c>
      <c r="EQ316" s="122">
        <f>EQ314</f>
        <v>25000</v>
      </c>
      <c r="ES316" s="122">
        <f>ES314</f>
        <v>0</v>
      </c>
      <c r="ET316" s="122">
        <f>ET314</f>
        <v>25000</v>
      </c>
      <c r="EV316" s="122">
        <f>EV314</f>
        <v>0</v>
      </c>
      <c r="EW316" s="122">
        <f>EW314</f>
        <v>25000</v>
      </c>
      <c r="EY316" s="122">
        <f>EY314</f>
        <v>0</v>
      </c>
      <c r="EZ316" s="122">
        <f>EZ314</f>
        <v>25000</v>
      </c>
      <c r="FB316" s="122">
        <f>FB314</f>
        <v>0</v>
      </c>
      <c r="FC316" s="122">
        <f>FC314</f>
        <v>25000</v>
      </c>
      <c r="FE316" s="122">
        <f>FE314</f>
        <v>0</v>
      </c>
      <c r="FF316" s="122">
        <f>FF314</f>
        <v>25000</v>
      </c>
      <c r="FH316" s="122">
        <f>FH314</f>
        <v>0</v>
      </c>
      <c r="FI316" s="122">
        <f>FI314</f>
        <v>25000</v>
      </c>
      <c r="FK316" s="122">
        <f>FK314</f>
        <v>0</v>
      </c>
      <c r="FL316" s="122">
        <f>FL314</f>
        <v>25000</v>
      </c>
      <c r="FN316" s="122">
        <f>SUM(FN314:FN315)</f>
        <v>0</v>
      </c>
      <c r="FO316" s="122">
        <f>SUM(FO314:FO315)</f>
        <v>25000</v>
      </c>
      <c r="FQ316" s="122">
        <v>0</v>
      </c>
      <c r="FR316" s="122">
        <v>25000</v>
      </c>
      <c r="FT316" s="122">
        <f>SUM(FT314:FT315)</f>
        <v>23595</v>
      </c>
      <c r="FV316" s="122">
        <f>SUM(FV314:FV315)</f>
        <v>25000</v>
      </c>
      <c r="FW316" s="235">
        <f t="shared" si="1483"/>
        <v>1.0595465140919686</v>
      </c>
      <c r="FY316" s="122">
        <f>SUM(FY314:FY315)</f>
        <v>0</v>
      </c>
      <c r="FZ316" s="122">
        <f>SUM(FZ314:FZ315)</f>
        <v>25000</v>
      </c>
      <c r="GB316" s="122">
        <f>SUM(GB314:GB315)</f>
        <v>0</v>
      </c>
      <c r="GC316" s="122">
        <f>SUM(GC314:GC315)</f>
        <v>25000</v>
      </c>
      <c r="GE316" s="122">
        <f>SUM(GE314:GE315)</f>
        <v>0</v>
      </c>
      <c r="GF316" s="122">
        <f>SUM(GF314:GF315)</f>
        <v>25000</v>
      </c>
      <c r="GH316" s="122">
        <f>SUM(GH314:GH315)</f>
        <v>0</v>
      </c>
      <c r="GI316" s="122">
        <f>SUM(GI314:GI315)</f>
        <v>25000</v>
      </c>
      <c r="GK316" s="122">
        <f>SUM(GK314:GK315)</f>
        <v>0</v>
      </c>
      <c r="GL316" s="122">
        <f>SUM(GL314:GL315)</f>
        <v>25000</v>
      </c>
      <c r="GN316" s="122">
        <f>SUM(GN314:GN315)</f>
        <v>0</v>
      </c>
      <c r="GO316" s="122">
        <f>SUM(GO314:GO315)</f>
        <v>25000</v>
      </c>
      <c r="GQ316" s="122">
        <f>SUM(GQ314:GQ315)</f>
        <v>0</v>
      </c>
      <c r="GR316" s="122">
        <f>SUM(GR314:GR315)</f>
        <v>25000</v>
      </c>
      <c r="GT316" s="122">
        <f>SUM(GT314:GT315)</f>
        <v>0</v>
      </c>
      <c r="GU316" s="122">
        <f>SUM(GU314:GU315)</f>
        <v>25000</v>
      </c>
      <c r="GW316" s="122">
        <f>SUM(GW314:GW315)</f>
        <v>0</v>
      </c>
      <c r="GX316" s="122">
        <f>SUM(GX314:GX315)</f>
        <v>25000</v>
      </c>
      <c r="GZ316" s="122">
        <f>SUM(GZ314:GZ315)</f>
        <v>0</v>
      </c>
      <c r="HA316" s="430">
        <f>SUM(HA314:HA315)</f>
        <v>25000</v>
      </c>
      <c r="HC316" s="122">
        <f>SUM(HC314:HC315)</f>
        <v>24448</v>
      </c>
      <c r="HE316" s="122">
        <f>SUM(HE314:HE315)</f>
        <v>25000</v>
      </c>
      <c r="HF316" s="235">
        <f>HE316/HC316</f>
        <v>1.0225785340314135</v>
      </c>
    </row>
    <row r="317" spans="1:214" ht="15.75" hidden="1" outlineLevel="1" thickTop="1">
      <c r="A317" s="1" t="s">
        <v>86</v>
      </c>
      <c r="B317" s="1" t="s">
        <v>229</v>
      </c>
      <c r="C317" s="4" t="s">
        <v>230</v>
      </c>
      <c r="D317" s="43">
        <v>200</v>
      </c>
      <c r="E317" s="34">
        <v>57.7</v>
      </c>
      <c r="F317" s="43">
        <v>200</v>
      </c>
      <c r="G317" s="34">
        <v>57.7</v>
      </c>
      <c r="H317" s="46">
        <v>115.4</v>
      </c>
      <c r="I317" s="36">
        <f>H317*I2</f>
        <v>138.47999999999999</v>
      </c>
      <c r="J317" s="14"/>
      <c r="K317" t="s">
        <v>332</v>
      </c>
      <c r="L317" s="118">
        <v>200</v>
      </c>
      <c r="M317" s="17">
        <f>L317/F317-1</f>
        <v>0</v>
      </c>
      <c r="N317" s="17">
        <f>L317/I317-1</f>
        <v>0.44425187752744089</v>
      </c>
      <c r="Q317" s="118">
        <v>200</v>
      </c>
      <c r="R317" s="15">
        <v>67</v>
      </c>
      <c r="S317" s="118">
        <v>200</v>
      </c>
      <c r="T317" s="15">
        <f>S317-Q317</f>
        <v>0</v>
      </c>
      <c r="U317" s="16">
        <f>S317/Q317-1</f>
        <v>0</v>
      </c>
      <c r="Y317" s="118">
        <v>200</v>
      </c>
      <c r="AA317" s="118">
        <v>150</v>
      </c>
      <c r="AB317" s="185">
        <f t="shared" ref="AB317" si="1484">AA317-Y317</f>
        <v>-50</v>
      </c>
      <c r="AC317" s="187">
        <f t="shared" ref="AC317" si="1485">AA317-Y317</f>
        <v>-50</v>
      </c>
      <c r="AD317" s="187"/>
      <c r="AE317" s="118">
        <v>4000</v>
      </c>
      <c r="AF317" s="182">
        <f>AE317-AA317</f>
        <v>3850</v>
      </c>
      <c r="AH317" s="15">
        <v>3946.4</v>
      </c>
      <c r="AI317" s="17">
        <f t="shared" si="1454"/>
        <v>0.98660000000000003</v>
      </c>
      <c r="AK317" s="118">
        <v>4200</v>
      </c>
      <c r="AS317" s="15">
        <f t="shared" ref="AS317" si="1486">AR317+AK317</f>
        <v>4200</v>
      </c>
      <c r="AV317" s="15">
        <f t="shared" ref="AV317" si="1487">AS317+AU317</f>
        <v>4200</v>
      </c>
      <c r="AX317" s="15"/>
      <c r="AY317" s="15">
        <f t="shared" ref="AY317" si="1488">AV317+AX317</f>
        <v>4200</v>
      </c>
      <c r="BB317" s="15">
        <f t="shared" ref="BB317" si="1489">AY317+BA317</f>
        <v>4200</v>
      </c>
      <c r="BD317" s="15">
        <v>-800</v>
      </c>
      <c r="BE317" s="15">
        <f t="shared" ref="BE317" si="1490">BB317+BD317</f>
        <v>3400</v>
      </c>
      <c r="BG317" s="15"/>
      <c r="BH317" s="15">
        <f t="shared" ref="BH317" si="1491">BE317+BG317</f>
        <v>3400</v>
      </c>
      <c r="BJ317" s="15">
        <v>3287.6</v>
      </c>
      <c r="BK317" s="235">
        <f t="shared" ref="BK317" si="1492">BJ317/BH317</f>
        <v>0.96694117647058819</v>
      </c>
      <c r="BM317" s="15">
        <v>3500</v>
      </c>
      <c r="BN317" s="235">
        <f t="shared" ref="BN317" si="1493">BM317/BJ317</f>
        <v>1.0646063998053292</v>
      </c>
      <c r="BO317" s="235">
        <f t="shared" ref="BO317" si="1494">BM317/BH317</f>
        <v>1.0294117647058822</v>
      </c>
      <c r="BQ317" s="15"/>
      <c r="BR317" s="15">
        <f t="shared" ref="BR317" si="1495">BM317+BQ317</f>
        <v>3500</v>
      </c>
      <c r="BT317" s="15"/>
      <c r="BU317" s="15">
        <f>BR317+BT317</f>
        <v>3500</v>
      </c>
      <c r="BW317" s="15"/>
      <c r="BX317" s="15">
        <f>BU317+BW317</f>
        <v>3500</v>
      </c>
      <c r="BZ317" s="15"/>
      <c r="CA317" s="15">
        <f>BX317+BZ317</f>
        <v>3500</v>
      </c>
      <c r="CC317" s="15"/>
      <c r="CD317" s="15">
        <f>CA317+CC317</f>
        <v>3500</v>
      </c>
      <c r="CF317" s="15"/>
      <c r="CG317" s="15">
        <f>CD317+CF317</f>
        <v>3500</v>
      </c>
      <c r="CI317" s="227">
        <v>1200</v>
      </c>
      <c r="CJ317" s="15">
        <f>CG317+CI317</f>
        <v>4700</v>
      </c>
      <c r="CM317" s="15">
        <f>CJ317+CL317</f>
        <v>4700</v>
      </c>
      <c r="CP317" s="15">
        <f>CM317+CO317</f>
        <v>4700</v>
      </c>
      <c r="CS317" s="15">
        <f>CP317+CR317</f>
        <v>4700</v>
      </c>
      <c r="CV317" s="15">
        <f>CS317+CU317</f>
        <v>4700</v>
      </c>
      <c r="CY317" s="15">
        <f>CV317+CX317</f>
        <v>4700</v>
      </c>
      <c r="DA317" s="15">
        <v>4552.83</v>
      </c>
      <c r="DC317" s="15">
        <v>5000</v>
      </c>
      <c r="DE317" s="15"/>
      <c r="DF317" s="15">
        <f t="shared" si="1463"/>
        <v>5000</v>
      </c>
      <c r="DH317" s="15"/>
      <c r="DI317" s="15">
        <f t="shared" ref="DI317" si="1496">DF317+DH317</f>
        <v>5000</v>
      </c>
      <c r="DK317" s="15"/>
      <c r="DL317" s="15">
        <f t="shared" ref="DL317" si="1497">DI317+DK317</f>
        <v>5000</v>
      </c>
      <c r="DN317" s="15"/>
      <c r="DO317" s="15">
        <f t="shared" ref="DO317" si="1498">DL317+DN317</f>
        <v>5000</v>
      </c>
      <c r="DQ317" s="15"/>
      <c r="DR317" s="15">
        <f t="shared" ref="DR317" si="1499">DO317+DQ317</f>
        <v>5000</v>
      </c>
      <c r="DT317" s="15"/>
      <c r="DU317" s="15">
        <f t="shared" ref="DU317" si="1500">DR317+DT317</f>
        <v>5000</v>
      </c>
      <c r="DW317" s="15"/>
      <c r="DX317" s="15">
        <f t="shared" ref="DX317" si="1501">DU317+DW317</f>
        <v>5000</v>
      </c>
      <c r="DZ317" s="15"/>
      <c r="EA317" s="15">
        <f t="shared" ref="EA317" si="1502">DX317+DZ317</f>
        <v>5000</v>
      </c>
      <c r="EC317" s="227">
        <v>529</v>
      </c>
      <c r="ED317" s="15">
        <f t="shared" ref="ED317" si="1503">EA317+EC317</f>
        <v>5529</v>
      </c>
      <c r="EF317" s="227">
        <v>1000</v>
      </c>
      <c r="EG317" s="15">
        <f t="shared" ref="EG317" si="1504">ED317+EF317</f>
        <v>6529</v>
      </c>
      <c r="EI317" s="15">
        <v>5059.2</v>
      </c>
      <c r="EK317" s="15">
        <v>6000</v>
      </c>
      <c r="EM317" s="15"/>
      <c r="EN317" s="15">
        <f t="shared" ref="EN317" si="1505">EK317+EM317</f>
        <v>6000</v>
      </c>
      <c r="EP317" s="15"/>
      <c r="EQ317" s="15">
        <f t="shared" ref="EQ317" si="1506">EN317+EP317</f>
        <v>6000</v>
      </c>
      <c r="ES317" s="15"/>
      <c r="ET317" s="15">
        <f t="shared" ref="ET317" si="1507">EQ317+ES317</f>
        <v>6000</v>
      </c>
      <c r="EW317" s="15">
        <f t="shared" ref="EW317" si="1508">ET317+EV317</f>
        <v>6000</v>
      </c>
      <c r="EZ317" s="15">
        <f t="shared" ref="EZ317" si="1509">EW317+EY317</f>
        <v>6000</v>
      </c>
      <c r="FC317" s="15">
        <f t="shared" ref="FC317" si="1510">EZ317+FB317</f>
        <v>6000</v>
      </c>
      <c r="FF317" s="15">
        <f t="shared" ref="FF317" si="1511">FC317+FE317</f>
        <v>6000</v>
      </c>
      <c r="FI317" s="15">
        <f t="shared" ref="FI317" si="1512">FF317+FH317</f>
        <v>6000</v>
      </c>
      <c r="FL317" s="15">
        <f t="shared" ref="FL317" si="1513">FI317+FK317</f>
        <v>6000</v>
      </c>
      <c r="FO317" s="15">
        <f t="shared" ref="FO317" si="1514">FL317+FN317</f>
        <v>6000</v>
      </c>
      <c r="FR317" s="15">
        <v>6000</v>
      </c>
      <c r="FT317" s="15">
        <v>5189.2</v>
      </c>
      <c r="FV317" s="15">
        <v>5500</v>
      </c>
      <c r="FW317" s="235">
        <f t="shared" si="1483"/>
        <v>1.0598936252216142</v>
      </c>
      <c r="FZ317" s="15">
        <f>FV317+FY317</f>
        <v>5500</v>
      </c>
      <c r="GB317" s="15"/>
      <c r="GC317" s="15">
        <f>FZ317+GB317</f>
        <v>5500</v>
      </c>
      <c r="GE317" s="227">
        <v>1000</v>
      </c>
      <c r="GF317" s="15">
        <f>GC317+GE317</f>
        <v>6500</v>
      </c>
      <c r="GH317" s="15"/>
      <c r="GI317" s="15">
        <f>GF317+GH317</f>
        <v>6500</v>
      </c>
      <c r="GK317" s="15"/>
      <c r="GL317" s="15">
        <f>GI317+GK317</f>
        <v>6500</v>
      </c>
      <c r="GN317" s="15"/>
      <c r="GO317" s="15">
        <f>GL317+GN317</f>
        <v>6500</v>
      </c>
      <c r="GQ317" s="15"/>
      <c r="GR317" s="15">
        <f>GO317+GQ317</f>
        <v>6500</v>
      </c>
      <c r="GT317" s="15"/>
      <c r="GU317" s="15">
        <f>GR317+GT317</f>
        <v>6500</v>
      </c>
      <c r="GW317" s="15"/>
      <c r="GX317" s="15">
        <f>GU317+GW317</f>
        <v>6500</v>
      </c>
      <c r="GZ317" s="15"/>
      <c r="HA317" s="189">
        <f>GX317+GZ317</f>
        <v>6500</v>
      </c>
      <c r="HC317" s="189">
        <v>5660.4</v>
      </c>
      <c r="HE317" s="15">
        <v>6500</v>
      </c>
      <c r="HF317" s="235">
        <f>HE317/HC317</f>
        <v>1.1483287400183733</v>
      </c>
    </row>
    <row r="318" spans="1:214" hidden="1" outlineLevel="1">
      <c r="A318" s="1" t="s">
        <v>86</v>
      </c>
      <c r="B318" s="4" t="s">
        <v>46</v>
      </c>
      <c r="C318" s="4" t="s">
        <v>89</v>
      </c>
      <c r="D318" s="43">
        <v>200</v>
      </c>
      <c r="E318" s="34">
        <v>57.7</v>
      </c>
      <c r="F318" s="43">
        <v>200</v>
      </c>
      <c r="G318" s="34">
        <v>57.7</v>
      </c>
      <c r="H318" s="46">
        <v>115.4</v>
      </c>
      <c r="Y318" s="118"/>
      <c r="AF318" s="182"/>
      <c r="AH318" s="15"/>
      <c r="AX318" s="15"/>
      <c r="BD318" s="15"/>
      <c r="BG318" s="15"/>
      <c r="DE318" s="15"/>
      <c r="DH318" s="15"/>
      <c r="DK318" s="15"/>
      <c r="DN318" s="15"/>
      <c r="DQ318" s="15"/>
      <c r="DT318" s="15"/>
      <c r="DW318" s="15"/>
      <c r="DZ318" s="15"/>
      <c r="EC318" s="15"/>
      <c r="EF318" s="15"/>
      <c r="EK318" s="15"/>
      <c r="EM318" s="15"/>
      <c r="EP318" s="15"/>
      <c r="ES318" s="15"/>
      <c r="GB318" s="15"/>
      <c r="GE318" s="15"/>
      <c r="GH318" s="15"/>
      <c r="GK318" s="15"/>
      <c r="GN318" s="15"/>
      <c r="GQ318" s="15"/>
      <c r="GT318" s="15"/>
      <c r="GW318" s="15"/>
      <c r="GZ318" s="15"/>
    </row>
    <row r="319" spans="1:214" hidden="1" outlineLevel="1">
      <c r="A319" s="1" t="s">
        <v>90</v>
      </c>
      <c r="B319" s="4" t="s">
        <v>48</v>
      </c>
      <c r="C319" s="4" t="s">
        <v>89</v>
      </c>
      <c r="D319" s="43">
        <v>200</v>
      </c>
      <c r="E319" s="34">
        <v>57.7</v>
      </c>
      <c r="F319" s="43">
        <v>200</v>
      </c>
      <c r="G319" s="34">
        <v>57.7</v>
      </c>
      <c r="H319" s="46">
        <v>115.4</v>
      </c>
      <c r="I319" s="36"/>
      <c r="J319" s="14"/>
      <c r="Y319" s="118"/>
      <c r="AF319" s="182"/>
      <c r="AH319" s="15"/>
      <c r="AX319" s="15"/>
      <c r="BD319" s="15"/>
      <c r="BG319" s="15"/>
      <c r="DE319" s="15"/>
      <c r="DH319" s="15"/>
      <c r="DK319" s="15"/>
      <c r="DN319" s="15"/>
      <c r="DQ319" s="15"/>
      <c r="DT319" s="15"/>
      <c r="DW319" s="15"/>
      <c r="DZ319" s="15"/>
      <c r="EC319" s="15"/>
      <c r="EF319" s="15"/>
      <c r="EK319" s="15"/>
      <c r="EM319" s="15"/>
      <c r="EP319" s="15"/>
      <c r="ES319" s="15"/>
      <c r="GB319" s="15"/>
      <c r="GE319" s="15"/>
      <c r="GH319" s="15"/>
      <c r="GK319" s="15"/>
      <c r="GN319" s="15"/>
      <c r="GQ319" s="15"/>
      <c r="GT319" s="15"/>
      <c r="GW319" s="15"/>
      <c r="GZ319" s="15"/>
    </row>
    <row r="320" spans="1:214" ht="15" customHeight="1" collapsed="1" thickTop="1" thickBot="1">
      <c r="A320" s="54" t="s">
        <v>86</v>
      </c>
      <c r="B320" s="55" t="s">
        <v>316</v>
      </c>
      <c r="C320" s="56" t="s">
        <v>352</v>
      </c>
      <c r="D320" s="57">
        <f>D317</f>
        <v>200</v>
      </c>
      <c r="E320" s="58"/>
      <c r="F320" s="57">
        <f>F317</f>
        <v>200</v>
      </c>
      <c r="G320" s="58"/>
      <c r="H320" s="57"/>
      <c r="I320" s="57">
        <f>I317</f>
        <v>138.47999999999999</v>
      </c>
      <c r="J320" s="59"/>
      <c r="K320" s="60"/>
      <c r="L320" s="122">
        <f>L317</f>
        <v>200</v>
      </c>
      <c r="M320" s="61">
        <f>L320/F320-1</f>
        <v>0</v>
      </c>
      <c r="N320" s="61">
        <f>L320/I320-1</f>
        <v>0.44425187752744089</v>
      </c>
      <c r="Q320" s="122">
        <f>Q317</f>
        <v>200</v>
      </c>
      <c r="R320" s="122">
        <f>R317</f>
        <v>67</v>
      </c>
      <c r="S320" s="122">
        <f>S317</f>
        <v>200</v>
      </c>
      <c r="T320" s="122">
        <f>T317</f>
        <v>0</v>
      </c>
      <c r="U320" s="155">
        <f>S320/Q320-1</f>
        <v>0</v>
      </c>
      <c r="Y320" s="122">
        <f>Y317</f>
        <v>200</v>
      </c>
      <c r="AA320" s="122">
        <f>AA317</f>
        <v>150</v>
      </c>
      <c r="AB320" s="122">
        <f>AB317</f>
        <v>-50</v>
      </c>
      <c r="AE320" s="122">
        <f>AE317</f>
        <v>4000</v>
      </c>
      <c r="AF320" s="182"/>
      <c r="AH320" s="122">
        <f>AH317</f>
        <v>3946.4</v>
      </c>
      <c r="AI320" s="17">
        <f t="shared" ref="AI320:AI321" si="1515">AH320/AE320</f>
        <v>0.98660000000000003</v>
      </c>
      <c r="AK320" s="122">
        <f>AK317</f>
        <v>4200</v>
      </c>
      <c r="AL320" s="193">
        <f>AK320/L320</f>
        <v>21</v>
      </c>
      <c r="AM320" s="17">
        <f>AK320/AE320</f>
        <v>1.05</v>
      </c>
      <c r="AN320" s="17">
        <f>AK320/AH320</f>
        <v>1.0642610987228867</v>
      </c>
      <c r="AS320" s="122">
        <f>AS317</f>
        <v>4200</v>
      </c>
      <c r="AU320" s="122">
        <f>AU317</f>
        <v>0</v>
      </c>
      <c r="AV320" s="122">
        <f>AV317</f>
        <v>4200</v>
      </c>
      <c r="AX320" s="122">
        <f>AX317</f>
        <v>0</v>
      </c>
      <c r="AY320" s="122">
        <f>AY317</f>
        <v>4200</v>
      </c>
      <c r="BA320" s="122">
        <f>BA317</f>
        <v>0</v>
      </c>
      <c r="BB320" s="122">
        <f>BB317</f>
        <v>4200</v>
      </c>
      <c r="BD320" s="122">
        <f>BD317</f>
        <v>-800</v>
      </c>
      <c r="BE320" s="122">
        <f>BE317</f>
        <v>3400</v>
      </c>
      <c r="BG320" s="122">
        <f>BG317</f>
        <v>0</v>
      </c>
      <c r="BH320" s="122">
        <f>BH317</f>
        <v>3400</v>
      </c>
      <c r="BJ320" s="122">
        <f>BJ317</f>
        <v>3287.6</v>
      </c>
      <c r="BK320" s="236">
        <f t="shared" ref="BK320" si="1516">BJ320/BH320</f>
        <v>0.96694117647058819</v>
      </c>
      <c r="BM320" s="122">
        <f>BM317</f>
        <v>3500</v>
      </c>
      <c r="BN320" s="236">
        <f t="shared" ref="BN320" si="1517">BM320/BJ320</f>
        <v>1.0646063998053292</v>
      </c>
      <c r="BO320" s="236">
        <f t="shared" ref="BO320" si="1518">BM320/BH320</f>
        <v>1.0294117647058822</v>
      </c>
      <c r="BQ320" s="122">
        <f>BQ317</f>
        <v>0</v>
      </c>
      <c r="BR320" s="122">
        <f>BR317</f>
        <v>3500</v>
      </c>
      <c r="BT320" s="122">
        <f>BT317</f>
        <v>0</v>
      </c>
      <c r="BU320" s="122">
        <f>BU317</f>
        <v>3500</v>
      </c>
      <c r="BW320" s="122">
        <f>BW317</f>
        <v>0</v>
      </c>
      <c r="BX320" s="122">
        <f>BX317</f>
        <v>3500</v>
      </c>
      <c r="BZ320" s="122">
        <f>BZ317</f>
        <v>0</v>
      </c>
      <c r="CA320" s="122">
        <f>CA317</f>
        <v>3500</v>
      </c>
      <c r="CC320" s="122">
        <f>CC317</f>
        <v>0</v>
      </c>
      <c r="CD320" s="122">
        <f>CD317</f>
        <v>3500</v>
      </c>
      <c r="CF320" s="122">
        <f>CF317</f>
        <v>0</v>
      </c>
      <c r="CG320" s="122">
        <f>CG317</f>
        <v>3500</v>
      </c>
      <c r="CI320" s="122">
        <f>CI317</f>
        <v>1200</v>
      </c>
      <c r="CJ320" s="122">
        <f>CJ317</f>
        <v>4700</v>
      </c>
      <c r="CL320" s="319">
        <f>CL317</f>
        <v>0</v>
      </c>
      <c r="CM320" s="122">
        <f>CM317</f>
        <v>4700</v>
      </c>
      <c r="CO320" s="122">
        <f>CO317</f>
        <v>0</v>
      </c>
      <c r="CP320" s="122">
        <f>CP317</f>
        <v>4700</v>
      </c>
      <c r="CR320" s="122">
        <f>CR317</f>
        <v>0</v>
      </c>
      <c r="CS320" s="122">
        <f>CS317</f>
        <v>4700</v>
      </c>
      <c r="CU320" s="122">
        <f>CU317</f>
        <v>0</v>
      </c>
      <c r="CV320" s="122">
        <f>CV317</f>
        <v>4700</v>
      </c>
      <c r="CX320" s="122">
        <f>CX317</f>
        <v>0</v>
      </c>
      <c r="CY320" s="122">
        <f>CY317</f>
        <v>4700</v>
      </c>
      <c r="DA320" s="122">
        <f>DA317</f>
        <v>4552.83</v>
      </c>
      <c r="DC320" s="122">
        <f>DC317</f>
        <v>5000</v>
      </c>
      <c r="DE320" s="122">
        <f>DE317</f>
        <v>0</v>
      </c>
      <c r="DF320" s="122">
        <f>DF317</f>
        <v>5000</v>
      </c>
      <c r="DH320" s="122">
        <f>DH317</f>
        <v>0</v>
      </c>
      <c r="DI320" s="122">
        <f>DI317</f>
        <v>5000</v>
      </c>
      <c r="DK320" s="122">
        <f>DK317</f>
        <v>0</v>
      </c>
      <c r="DL320" s="122">
        <f>DL317</f>
        <v>5000</v>
      </c>
      <c r="DN320" s="122">
        <f>DN317</f>
        <v>0</v>
      </c>
      <c r="DO320" s="122">
        <f>DO317</f>
        <v>5000</v>
      </c>
      <c r="DQ320" s="122">
        <f>DQ317</f>
        <v>0</v>
      </c>
      <c r="DR320" s="122">
        <f>DR317</f>
        <v>5000</v>
      </c>
      <c r="DT320" s="122">
        <f>DT317</f>
        <v>0</v>
      </c>
      <c r="DU320" s="122">
        <f>DU317</f>
        <v>5000</v>
      </c>
      <c r="DW320" s="122">
        <f>DW317</f>
        <v>0</v>
      </c>
      <c r="DX320" s="122">
        <f>DX317</f>
        <v>5000</v>
      </c>
      <c r="DZ320" s="122">
        <f>DZ317</f>
        <v>0</v>
      </c>
      <c r="EA320" s="122">
        <f>EA317</f>
        <v>5000</v>
      </c>
      <c r="EC320" s="122">
        <f>EC317</f>
        <v>529</v>
      </c>
      <c r="ED320" s="122">
        <f>ED317</f>
        <v>5529</v>
      </c>
      <c r="EF320" s="122">
        <f>EF317</f>
        <v>1000</v>
      </c>
      <c r="EG320" s="122">
        <f>EG317</f>
        <v>6529</v>
      </c>
      <c r="EI320" s="122">
        <f>EI317</f>
        <v>5059.2</v>
      </c>
      <c r="EK320" s="122">
        <f>EK317</f>
        <v>6000</v>
      </c>
      <c r="EM320" s="122">
        <f>EM317</f>
        <v>0</v>
      </c>
      <c r="EN320" s="122">
        <f>EN317</f>
        <v>6000</v>
      </c>
      <c r="EP320" s="122">
        <f>EP317</f>
        <v>0</v>
      </c>
      <c r="EQ320" s="122">
        <f>EQ317</f>
        <v>6000</v>
      </c>
      <c r="ES320" s="122">
        <f>ES317</f>
        <v>0</v>
      </c>
      <c r="ET320" s="122">
        <f>ET317</f>
        <v>6000</v>
      </c>
      <c r="EV320" s="122">
        <f>EV317</f>
        <v>0</v>
      </c>
      <c r="EW320" s="122">
        <f>EW317</f>
        <v>6000</v>
      </c>
      <c r="EY320" s="122">
        <f>EY317</f>
        <v>0</v>
      </c>
      <c r="EZ320" s="122">
        <f>EZ317</f>
        <v>6000</v>
      </c>
      <c r="FB320" s="122">
        <f>FB317</f>
        <v>0</v>
      </c>
      <c r="FC320" s="122">
        <f>FC317</f>
        <v>6000</v>
      </c>
      <c r="FE320" s="122">
        <f>FE317</f>
        <v>0</v>
      </c>
      <c r="FF320" s="122">
        <f>FF317</f>
        <v>6000</v>
      </c>
      <c r="FH320" s="122">
        <f>FH317</f>
        <v>0</v>
      </c>
      <c r="FI320" s="122">
        <f>FI317</f>
        <v>6000</v>
      </c>
      <c r="FK320" s="122">
        <f>FK317</f>
        <v>0</v>
      </c>
      <c r="FL320" s="122">
        <f>FL317</f>
        <v>6000</v>
      </c>
      <c r="FN320" s="122">
        <f>FN317</f>
        <v>0</v>
      </c>
      <c r="FO320" s="122">
        <f>FO317</f>
        <v>6000</v>
      </c>
      <c r="FQ320" s="122">
        <v>0</v>
      </c>
      <c r="FR320" s="122">
        <v>6000</v>
      </c>
      <c r="FT320" s="122">
        <f>FT317</f>
        <v>5189.2</v>
      </c>
      <c r="FV320" s="122">
        <f>FV317</f>
        <v>5500</v>
      </c>
      <c r="FW320" s="235">
        <f t="shared" ref="FW320:FW321" si="1519">FV320/FT320</f>
        <v>1.0598936252216142</v>
      </c>
      <c r="FY320" s="122">
        <f>FY317</f>
        <v>0</v>
      </c>
      <c r="FZ320" s="122">
        <f>FZ317</f>
        <v>5500</v>
      </c>
      <c r="GB320" s="122">
        <f>GB317</f>
        <v>0</v>
      </c>
      <c r="GC320" s="122">
        <f>GC317</f>
        <v>5500</v>
      </c>
      <c r="GE320" s="122">
        <f>GE317</f>
        <v>1000</v>
      </c>
      <c r="GF320" s="122">
        <f>GF317</f>
        <v>6500</v>
      </c>
      <c r="GH320" s="122">
        <f>GH317</f>
        <v>0</v>
      </c>
      <c r="GI320" s="122">
        <f>GI317</f>
        <v>6500</v>
      </c>
      <c r="GK320" s="122">
        <f>GK317</f>
        <v>0</v>
      </c>
      <c r="GL320" s="122">
        <f>GL317</f>
        <v>6500</v>
      </c>
      <c r="GN320" s="122">
        <f>GN317</f>
        <v>0</v>
      </c>
      <c r="GO320" s="122">
        <f>GO317</f>
        <v>6500</v>
      </c>
      <c r="GQ320" s="122">
        <f>GQ317</f>
        <v>0</v>
      </c>
      <c r="GR320" s="122">
        <f>GR317</f>
        <v>6500</v>
      </c>
      <c r="GT320" s="122">
        <f>GT317</f>
        <v>0</v>
      </c>
      <c r="GU320" s="122">
        <f>GU317</f>
        <v>6500</v>
      </c>
      <c r="GW320" s="122">
        <f>GW317</f>
        <v>0</v>
      </c>
      <c r="GX320" s="122">
        <f>GX317</f>
        <v>6500</v>
      </c>
      <c r="GZ320" s="122">
        <f>GZ317</f>
        <v>0</v>
      </c>
      <c r="HA320" s="430">
        <f>HA317</f>
        <v>6500</v>
      </c>
      <c r="HC320" s="122">
        <f>HC317</f>
        <v>5660.4</v>
      </c>
      <c r="HE320" s="122">
        <f>HE317</f>
        <v>6500</v>
      </c>
      <c r="HF320" s="235">
        <f>HE320/HC320</f>
        <v>1.1483287400183733</v>
      </c>
    </row>
    <row r="321" spans="1:214" ht="15.75" outlineLevel="1" thickTop="1">
      <c r="A321" s="1" t="s">
        <v>235</v>
      </c>
      <c r="B321" s="1" t="s">
        <v>229</v>
      </c>
      <c r="C321" s="4" t="s">
        <v>230</v>
      </c>
      <c r="D321" s="43">
        <v>27000</v>
      </c>
      <c r="E321" s="34">
        <v>69.209999999999994</v>
      </c>
      <c r="F321" s="43">
        <v>27000</v>
      </c>
      <c r="G321" s="34">
        <v>69.209999999999994</v>
      </c>
      <c r="H321" s="46">
        <v>18686.98</v>
      </c>
      <c r="I321" s="36">
        <v>18687</v>
      </c>
      <c r="J321" s="14"/>
      <c r="K321" t="s">
        <v>332</v>
      </c>
      <c r="L321" s="118">
        <v>16000</v>
      </c>
      <c r="M321" s="17">
        <f>L321/F321-1</f>
        <v>-0.40740740740740744</v>
      </c>
      <c r="N321" s="17">
        <f>L321/I321-1</f>
        <v>-0.1437898003959972</v>
      </c>
      <c r="Q321" s="118">
        <v>16000</v>
      </c>
      <c r="R321" s="15">
        <v>13284</v>
      </c>
      <c r="S321" s="118">
        <v>14000</v>
      </c>
      <c r="T321" s="15">
        <f>S321-Q321</f>
        <v>-2000</v>
      </c>
      <c r="U321" s="16">
        <f>S321/Q321-1</f>
        <v>-0.125</v>
      </c>
      <c r="Y321" s="118">
        <v>15700</v>
      </c>
      <c r="AA321" s="118">
        <v>19000</v>
      </c>
      <c r="AB321" s="185">
        <f t="shared" ref="AB321" si="1520">AA321-Y321</f>
        <v>3300</v>
      </c>
      <c r="AC321" s="187">
        <f t="shared" ref="AC321" si="1521">AA321-Y321</f>
        <v>3300</v>
      </c>
      <c r="AD321" s="187"/>
      <c r="AE321" s="118">
        <v>19000</v>
      </c>
      <c r="AF321" s="182"/>
      <c r="AH321" s="15">
        <v>15612</v>
      </c>
      <c r="AI321" s="17">
        <f t="shared" si="1515"/>
        <v>0.82168421052631579</v>
      </c>
      <c r="AK321" s="118">
        <v>16000</v>
      </c>
      <c r="AS321" s="15">
        <f t="shared" ref="AS321" si="1522">AR321+AK321</f>
        <v>16000</v>
      </c>
      <c r="AV321" s="15">
        <f t="shared" ref="AV321" si="1523">AS321+AU321</f>
        <v>16000</v>
      </c>
      <c r="AX321" s="15"/>
      <c r="AY321" s="15">
        <f t="shared" ref="AY321" si="1524">AV321+AX321</f>
        <v>16000</v>
      </c>
      <c r="BB321" s="15">
        <f t="shared" ref="BB321" si="1525">AY321+BA321</f>
        <v>16000</v>
      </c>
      <c r="BD321" s="15"/>
      <c r="BE321" s="15">
        <f t="shared" ref="BE321" si="1526">BB321+BD321</f>
        <v>16000</v>
      </c>
      <c r="BG321" s="15">
        <v>-200</v>
      </c>
      <c r="BH321" s="15">
        <f t="shared" ref="BH321" si="1527">BE321+BG321</f>
        <v>15800</v>
      </c>
      <c r="BJ321" s="15">
        <v>15144</v>
      </c>
      <c r="BK321" s="235">
        <f t="shared" ref="BK321" si="1528">BJ321/BH321</f>
        <v>0.95848101265822783</v>
      </c>
      <c r="BM321" s="15">
        <v>16000</v>
      </c>
      <c r="BN321" s="235">
        <f t="shared" ref="BN321" si="1529">BM321/BJ321</f>
        <v>1.0565240359218173</v>
      </c>
      <c r="BO321" s="235">
        <f t="shared" ref="BO321" si="1530">BM321/BH321</f>
        <v>1.0126582278481013</v>
      </c>
      <c r="BQ321" s="15"/>
      <c r="BR321" s="15">
        <f t="shared" ref="BR321" si="1531">BM321+BQ321</f>
        <v>16000</v>
      </c>
      <c r="BT321" s="15"/>
      <c r="BU321" s="15">
        <f>BR321+BT321</f>
        <v>16000</v>
      </c>
      <c r="BW321" s="15"/>
      <c r="BX321" s="15">
        <f>BU321+BW321</f>
        <v>16000</v>
      </c>
      <c r="BZ321" s="15"/>
      <c r="CA321" s="15">
        <f>BX321+BZ321</f>
        <v>16000</v>
      </c>
      <c r="CC321" s="15"/>
      <c r="CD321" s="15">
        <f>CA321+CC321</f>
        <v>16000</v>
      </c>
      <c r="CF321" s="15"/>
      <c r="CG321" s="15">
        <f>CD321+CF321</f>
        <v>16000</v>
      </c>
      <c r="CI321" s="15"/>
      <c r="CJ321" s="15">
        <f>CG321+CI321</f>
        <v>16000</v>
      </c>
      <c r="CM321" s="15">
        <f>CJ321+CL321</f>
        <v>16000</v>
      </c>
      <c r="CP321" s="15">
        <f>CM321+CO321</f>
        <v>16000</v>
      </c>
      <c r="CS321" s="15">
        <f>CP321+CR321</f>
        <v>16000</v>
      </c>
      <c r="CU321" s="227">
        <v>-3000</v>
      </c>
      <c r="CV321" s="15">
        <f>CS321+CU321</f>
        <v>13000</v>
      </c>
      <c r="CX321" s="227"/>
      <c r="CY321" s="15">
        <f>CV321+CX321</f>
        <v>13000</v>
      </c>
      <c r="DA321" s="15">
        <v>12746</v>
      </c>
      <c r="DC321" s="15">
        <v>13000</v>
      </c>
      <c r="DE321" s="15"/>
      <c r="DF321" s="15">
        <f t="shared" ref="DF321" si="1532">DC321+DE321</f>
        <v>13000</v>
      </c>
      <c r="DH321" s="15"/>
      <c r="DI321" s="15">
        <f t="shared" ref="DI321" si="1533">DF321+DH321</f>
        <v>13000</v>
      </c>
      <c r="DK321" s="15"/>
      <c r="DL321" s="15">
        <f t="shared" ref="DL321" si="1534">DI321+DK321</f>
        <v>13000</v>
      </c>
      <c r="DN321" s="15"/>
      <c r="DO321" s="15">
        <f t="shared" ref="DO321" si="1535">DL321+DN321</f>
        <v>13000</v>
      </c>
      <c r="DQ321" s="15"/>
      <c r="DR321" s="15">
        <f t="shared" ref="DR321" si="1536">DO321+DQ321</f>
        <v>13000</v>
      </c>
      <c r="DT321" s="15"/>
      <c r="DU321" s="15">
        <f t="shared" ref="DU321" si="1537">DR321+DT321</f>
        <v>13000</v>
      </c>
      <c r="DW321" s="15"/>
      <c r="DX321" s="15">
        <f t="shared" ref="DX321" si="1538">DU321+DW321</f>
        <v>13000</v>
      </c>
      <c r="DZ321" s="15"/>
      <c r="EA321" s="15">
        <f t="shared" ref="EA321" si="1539">DX321+DZ321</f>
        <v>13000</v>
      </c>
      <c r="EC321" s="227">
        <v>10</v>
      </c>
      <c r="ED321" s="15">
        <f t="shared" ref="ED321" si="1540">EA321+EC321</f>
        <v>13010</v>
      </c>
      <c r="EF321" s="227">
        <v>1500</v>
      </c>
      <c r="EG321" s="15">
        <f t="shared" ref="EG321" si="1541">ED321+EF321</f>
        <v>14510</v>
      </c>
      <c r="EI321" s="15">
        <v>13009</v>
      </c>
      <c r="EK321" s="15">
        <v>30000</v>
      </c>
      <c r="EM321" s="15"/>
      <c r="EN321" s="15">
        <f t="shared" ref="EN321" si="1542">EK321+EM321</f>
        <v>30000</v>
      </c>
      <c r="EP321" s="15"/>
      <c r="EQ321" s="15">
        <f t="shared" ref="EQ321" si="1543">EN321+EP321</f>
        <v>30000</v>
      </c>
      <c r="ES321" s="15"/>
      <c r="ET321" s="15">
        <f t="shared" ref="ET321" si="1544">EQ321+ES321</f>
        <v>30000</v>
      </c>
      <c r="EV321" s="227">
        <v>1000</v>
      </c>
      <c r="EW321" s="15">
        <f t="shared" ref="EW321" si="1545">ET321+EV321</f>
        <v>31000</v>
      </c>
      <c r="EY321" s="227">
        <v>1500</v>
      </c>
      <c r="EZ321" s="15">
        <f t="shared" ref="EZ321" si="1546">EW321+EY321</f>
        <v>32500</v>
      </c>
      <c r="FC321" s="15">
        <f t="shared" ref="FC321" si="1547">EZ321+FB321</f>
        <v>32500</v>
      </c>
      <c r="FF321" s="15">
        <f t="shared" ref="FF321" si="1548">FC321+FE321</f>
        <v>32500</v>
      </c>
      <c r="FI321" s="15">
        <f t="shared" ref="FI321" si="1549">FF321+FH321</f>
        <v>32500</v>
      </c>
      <c r="FL321" s="15">
        <f t="shared" ref="FL321" si="1550">FI321+FK321</f>
        <v>32500</v>
      </c>
      <c r="FO321" s="15">
        <f t="shared" ref="FO321" si="1551">FL321+FN321</f>
        <v>32500</v>
      </c>
      <c r="FR321" s="15">
        <v>32500</v>
      </c>
      <c r="FT321" s="15">
        <v>32469</v>
      </c>
      <c r="FV321" s="15">
        <v>35000</v>
      </c>
      <c r="FW321" s="235">
        <f t="shared" si="1519"/>
        <v>1.0779512766022976</v>
      </c>
      <c r="FZ321" s="15">
        <f>FV321+FY321</f>
        <v>35000</v>
      </c>
      <c r="GB321" s="15"/>
      <c r="GC321" s="15">
        <f>FZ321+GB321</f>
        <v>35000</v>
      </c>
      <c r="GE321" s="15"/>
      <c r="GF321" s="15">
        <f>GC321+GE321</f>
        <v>35000</v>
      </c>
      <c r="GH321" s="15"/>
      <c r="GI321" s="15">
        <f>GF321+GH321</f>
        <v>35000</v>
      </c>
      <c r="GK321" s="15"/>
      <c r="GL321" s="15">
        <f>GI321+GK321</f>
        <v>35000</v>
      </c>
      <c r="GN321" s="15"/>
      <c r="GO321" s="15">
        <f>GL321+GN321</f>
        <v>35000</v>
      </c>
      <c r="GQ321" s="15"/>
      <c r="GR321" s="15">
        <f>GO321+GQ321</f>
        <v>35000</v>
      </c>
      <c r="GT321" s="15"/>
      <c r="GU321" s="15">
        <f>GR321+GT321</f>
        <v>35000</v>
      </c>
      <c r="GW321" s="15"/>
      <c r="GX321" s="15">
        <f>GU321+GW321</f>
        <v>35000</v>
      </c>
      <c r="GZ321" s="15"/>
      <c r="HA321" s="189">
        <f>GX321+GZ321</f>
        <v>35000</v>
      </c>
      <c r="HC321" s="189">
        <v>33317</v>
      </c>
      <c r="HE321" s="15">
        <v>50000</v>
      </c>
      <c r="HF321" s="235">
        <f>HE321/HC321</f>
        <v>1.5007353603265601</v>
      </c>
    </row>
    <row r="322" spans="1:214" outlineLevel="1">
      <c r="A322" s="1" t="s">
        <v>235</v>
      </c>
      <c r="B322" s="4" t="s">
        <v>46</v>
      </c>
      <c r="C322" s="4" t="s">
        <v>236</v>
      </c>
      <c r="D322" s="43">
        <v>27000</v>
      </c>
      <c r="E322" s="34">
        <v>69.209999999999994</v>
      </c>
      <c r="F322" s="43">
        <v>27000</v>
      </c>
      <c r="G322" s="34">
        <v>69.209999999999994</v>
      </c>
      <c r="H322" s="46">
        <v>18686.98</v>
      </c>
      <c r="I322" s="36"/>
      <c r="J322" s="14"/>
      <c r="Y322" s="118"/>
      <c r="AF322" s="182"/>
      <c r="AH322" s="15"/>
      <c r="AX322" s="15"/>
      <c r="BD322" s="15"/>
      <c r="BG322" s="15"/>
      <c r="DE322" s="15"/>
      <c r="DH322" s="15"/>
      <c r="DK322" s="15"/>
      <c r="DN322" s="15"/>
      <c r="DQ322" s="15"/>
      <c r="DT322" s="15"/>
      <c r="DW322" s="15"/>
      <c r="DZ322" s="15"/>
      <c r="EC322" s="15"/>
      <c r="EF322" s="15"/>
      <c r="EK322" s="15"/>
      <c r="EM322" s="15"/>
      <c r="EP322" s="15"/>
      <c r="ES322" s="15"/>
      <c r="GB322" s="15"/>
      <c r="GE322" s="15"/>
      <c r="GH322" s="15"/>
      <c r="GK322" s="15"/>
      <c r="GN322" s="15"/>
      <c r="GQ322" s="15"/>
      <c r="GT322" s="15"/>
      <c r="GW322" s="15"/>
      <c r="GZ322" s="15"/>
    </row>
    <row r="323" spans="1:214" outlineLevel="1">
      <c r="A323" s="1" t="s">
        <v>237</v>
      </c>
      <c r="B323" s="4" t="s">
        <v>48</v>
      </c>
      <c r="C323" s="4" t="s">
        <v>236</v>
      </c>
      <c r="D323" s="43">
        <v>27000</v>
      </c>
      <c r="E323" s="34">
        <v>69.209999999999994</v>
      </c>
      <c r="F323" s="43">
        <v>27000</v>
      </c>
      <c r="G323" s="34">
        <v>69.209999999999994</v>
      </c>
      <c r="H323" s="46">
        <v>18686.98</v>
      </c>
      <c r="Y323" s="118"/>
      <c r="AF323" s="182"/>
      <c r="AH323" s="15"/>
      <c r="AX323" s="15"/>
      <c r="BD323" s="15"/>
      <c r="BG323" s="15"/>
      <c r="DE323" s="15"/>
      <c r="DH323" s="15"/>
      <c r="DK323" s="15"/>
      <c r="DN323" s="15"/>
      <c r="DQ323" s="15"/>
      <c r="DT323" s="15"/>
      <c r="DW323" s="15"/>
      <c r="DZ323" s="15"/>
      <c r="EC323" s="15"/>
      <c r="EF323" s="15"/>
      <c r="EK323" s="15"/>
      <c r="EM323" s="15"/>
      <c r="EP323" s="15"/>
      <c r="ES323" s="15"/>
      <c r="GB323" s="15"/>
      <c r="GE323" s="15"/>
      <c r="GH323" s="15"/>
      <c r="GK323" s="15"/>
      <c r="GN323" s="15"/>
      <c r="GQ323" s="15"/>
      <c r="GT323" s="15"/>
      <c r="GW323" s="15"/>
      <c r="GZ323" s="15"/>
    </row>
    <row r="324" spans="1:214" ht="15" customHeight="1" thickBot="1">
      <c r="A324" s="54" t="s">
        <v>235</v>
      </c>
      <c r="B324" s="55" t="s">
        <v>316</v>
      </c>
      <c r="C324" s="56" t="s">
        <v>353</v>
      </c>
      <c r="D324" s="57">
        <f>D321</f>
        <v>27000</v>
      </c>
      <c r="E324" s="58"/>
      <c r="F324" s="57">
        <f>F321</f>
        <v>27000</v>
      </c>
      <c r="G324" s="58"/>
      <c r="H324" s="57"/>
      <c r="I324" s="57">
        <f>I321</f>
        <v>18687</v>
      </c>
      <c r="J324" s="138" t="e">
        <f>I324/$I$350</f>
        <v>#REF!</v>
      </c>
      <c r="K324" s="60"/>
      <c r="L324" s="122">
        <f>L321</f>
        <v>16000</v>
      </c>
      <c r="M324" s="61">
        <f>L324/F324-1</f>
        <v>-0.40740740740740744</v>
      </c>
      <c r="N324" s="61">
        <f>L324/I324-1</f>
        <v>-0.1437898003959972</v>
      </c>
      <c r="O324" s="17">
        <f>L324/$L$350</f>
        <v>3.7122970526644464E-3</v>
      </c>
      <c r="P324" s="17"/>
      <c r="Q324" s="122">
        <f>Q321</f>
        <v>16000</v>
      </c>
      <c r="R324" s="122">
        <f>R321</f>
        <v>13284</v>
      </c>
      <c r="S324" s="122">
        <f>S321</f>
        <v>14000</v>
      </c>
      <c r="T324" s="122">
        <f>T321</f>
        <v>-2000</v>
      </c>
      <c r="U324" s="155">
        <f>S324/Q324-1</f>
        <v>-0.125</v>
      </c>
      <c r="Y324" s="122">
        <f>Y321</f>
        <v>15700</v>
      </c>
      <c r="AA324" s="122">
        <f>AA321</f>
        <v>19000</v>
      </c>
      <c r="AB324" s="122">
        <f>AB321</f>
        <v>3300</v>
      </c>
      <c r="AE324" s="122">
        <f>AE321</f>
        <v>19000</v>
      </c>
      <c r="AF324" s="182"/>
      <c r="AH324" s="122">
        <f>AH321</f>
        <v>15612</v>
      </c>
      <c r="AI324" s="17">
        <f t="shared" ref="AI324:AI325" si="1552">AH324/AE324</f>
        <v>0.82168421052631579</v>
      </c>
      <c r="AK324" s="122">
        <f>AK321</f>
        <v>16000</v>
      </c>
      <c r="AL324" s="193">
        <f>AK324/L324</f>
        <v>1</v>
      </c>
      <c r="AM324" s="17">
        <f>AK324/AE324</f>
        <v>0.84210526315789469</v>
      </c>
      <c r="AN324" s="17">
        <f>AK324/AH324</f>
        <v>1.0248526774276199</v>
      </c>
      <c r="AS324" s="122">
        <f>AS321</f>
        <v>16000</v>
      </c>
      <c r="AU324" s="122">
        <f>AU321</f>
        <v>0</v>
      </c>
      <c r="AV324" s="122">
        <f>AV321</f>
        <v>16000</v>
      </c>
      <c r="AX324" s="122">
        <f>AX321</f>
        <v>0</v>
      </c>
      <c r="AY324" s="122">
        <f>AY321</f>
        <v>16000</v>
      </c>
      <c r="BA324" s="122">
        <f>BA321</f>
        <v>0</v>
      </c>
      <c r="BB324" s="122">
        <f>BB321</f>
        <v>16000</v>
      </c>
      <c r="BD324" s="122">
        <f>BD321</f>
        <v>0</v>
      </c>
      <c r="BE324" s="122">
        <f>BE321</f>
        <v>16000</v>
      </c>
      <c r="BG324" s="122">
        <f>BG321</f>
        <v>-200</v>
      </c>
      <c r="BH324" s="122">
        <f>BH321</f>
        <v>15800</v>
      </c>
      <c r="BJ324" s="122">
        <f>BJ321</f>
        <v>15144</v>
      </c>
      <c r="BK324" s="236">
        <f t="shared" ref="BK324" si="1553">BJ324/BH324</f>
        <v>0.95848101265822783</v>
      </c>
      <c r="BM324" s="122">
        <f>BM321</f>
        <v>16000</v>
      </c>
      <c r="BN324" s="236">
        <f t="shared" ref="BN324" si="1554">BM324/BJ324</f>
        <v>1.0565240359218173</v>
      </c>
      <c r="BO324" s="236">
        <f t="shared" ref="BO324" si="1555">BM324/BH324</f>
        <v>1.0126582278481013</v>
      </c>
      <c r="BQ324" s="122">
        <f>BQ321</f>
        <v>0</v>
      </c>
      <c r="BR324" s="122">
        <f>BR321</f>
        <v>16000</v>
      </c>
      <c r="BT324" s="122">
        <f>BT321</f>
        <v>0</v>
      </c>
      <c r="BU324" s="122">
        <f>BU321</f>
        <v>16000</v>
      </c>
      <c r="BW324" s="122">
        <f>BW321</f>
        <v>0</v>
      </c>
      <c r="BX324" s="122">
        <f>BX321</f>
        <v>16000</v>
      </c>
      <c r="BZ324" s="122">
        <f>BZ321</f>
        <v>0</v>
      </c>
      <c r="CA324" s="122">
        <f>CA321</f>
        <v>16000</v>
      </c>
      <c r="CC324" s="122">
        <f>CC321</f>
        <v>0</v>
      </c>
      <c r="CD324" s="122">
        <f>CD321</f>
        <v>16000</v>
      </c>
      <c r="CF324" s="122">
        <f>CF321</f>
        <v>0</v>
      </c>
      <c r="CG324" s="122">
        <f>CG321</f>
        <v>16000</v>
      </c>
      <c r="CI324" s="122">
        <f>CI321</f>
        <v>0</v>
      </c>
      <c r="CJ324" s="122">
        <f>CJ321</f>
        <v>16000</v>
      </c>
      <c r="CL324" s="319">
        <f>CL321</f>
        <v>0</v>
      </c>
      <c r="CM324" s="122">
        <f>CM321</f>
        <v>16000</v>
      </c>
      <c r="CO324" s="122">
        <f>CO321</f>
        <v>0</v>
      </c>
      <c r="CP324" s="122">
        <f>CP321</f>
        <v>16000</v>
      </c>
      <c r="CR324" s="122">
        <f>CR321</f>
        <v>0</v>
      </c>
      <c r="CS324" s="122">
        <f>CS321</f>
        <v>16000</v>
      </c>
      <c r="CU324" s="122">
        <f>CU321</f>
        <v>-3000</v>
      </c>
      <c r="CV324" s="122">
        <f>CV321</f>
        <v>13000</v>
      </c>
      <c r="CX324" s="122">
        <f>CX321</f>
        <v>0</v>
      </c>
      <c r="CY324" s="122">
        <f>CY321</f>
        <v>13000</v>
      </c>
      <c r="DA324" s="122">
        <f>DA321</f>
        <v>12746</v>
      </c>
      <c r="DC324" s="122">
        <f>DC321</f>
        <v>13000</v>
      </c>
      <c r="DE324" s="122">
        <f>DE321</f>
        <v>0</v>
      </c>
      <c r="DF324" s="122">
        <f>DF321</f>
        <v>13000</v>
      </c>
      <c r="DH324" s="122">
        <f>DH321</f>
        <v>0</v>
      </c>
      <c r="DI324" s="122">
        <f>DI321</f>
        <v>13000</v>
      </c>
      <c r="DK324" s="122">
        <f>DK321</f>
        <v>0</v>
      </c>
      <c r="DL324" s="122">
        <f>DL321</f>
        <v>13000</v>
      </c>
      <c r="DN324" s="122">
        <f>DN321</f>
        <v>0</v>
      </c>
      <c r="DO324" s="122">
        <f>DO321</f>
        <v>13000</v>
      </c>
      <c r="DQ324" s="122">
        <f>DQ321</f>
        <v>0</v>
      </c>
      <c r="DR324" s="122">
        <f>DR321</f>
        <v>13000</v>
      </c>
      <c r="DT324" s="122">
        <f>DT321</f>
        <v>0</v>
      </c>
      <c r="DU324" s="122">
        <f>DU321</f>
        <v>13000</v>
      </c>
      <c r="DW324" s="122">
        <f>DW321</f>
        <v>0</v>
      </c>
      <c r="DX324" s="122">
        <f>DX321</f>
        <v>13000</v>
      </c>
      <c r="DZ324" s="122">
        <f>DZ321</f>
        <v>0</v>
      </c>
      <c r="EA324" s="122">
        <f>EA321</f>
        <v>13000</v>
      </c>
      <c r="EC324" s="122">
        <f>EC321</f>
        <v>10</v>
      </c>
      <c r="ED324" s="122">
        <f>ED321</f>
        <v>13010</v>
      </c>
      <c r="EF324" s="122">
        <f>EF321</f>
        <v>1500</v>
      </c>
      <c r="EG324" s="122">
        <f>EG321</f>
        <v>14510</v>
      </c>
      <c r="EI324" s="122">
        <f>EI321</f>
        <v>13009</v>
      </c>
      <c r="EK324" s="122">
        <f>EK321</f>
        <v>30000</v>
      </c>
      <c r="EM324" s="122">
        <f>EM321</f>
        <v>0</v>
      </c>
      <c r="EN324" s="122">
        <f>EN321</f>
        <v>30000</v>
      </c>
      <c r="EP324" s="122">
        <f>EP321</f>
        <v>0</v>
      </c>
      <c r="EQ324" s="122">
        <f>EQ321</f>
        <v>30000</v>
      </c>
      <c r="ES324" s="122">
        <f>ES321</f>
        <v>0</v>
      </c>
      <c r="ET324" s="122">
        <f>ET321</f>
        <v>30000</v>
      </c>
      <c r="EV324" s="122">
        <f>EV321</f>
        <v>1000</v>
      </c>
      <c r="EW324" s="122">
        <f>EW321</f>
        <v>31000</v>
      </c>
      <c r="EY324" s="122">
        <f>EY321</f>
        <v>1500</v>
      </c>
      <c r="EZ324" s="122">
        <f>EZ321</f>
        <v>32500</v>
      </c>
      <c r="FB324" s="122">
        <f>FB321</f>
        <v>0</v>
      </c>
      <c r="FC324" s="122">
        <f>FC321</f>
        <v>32500</v>
      </c>
      <c r="FE324" s="122">
        <f>FE321</f>
        <v>0</v>
      </c>
      <c r="FF324" s="122">
        <f>FF321</f>
        <v>32500</v>
      </c>
      <c r="FH324" s="122">
        <f>FH321</f>
        <v>0</v>
      </c>
      <c r="FI324" s="122">
        <f>FI321</f>
        <v>32500</v>
      </c>
      <c r="FK324" s="122">
        <f>FK321</f>
        <v>0</v>
      </c>
      <c r="FL324" s="122">
        <f>FL321</f>
        <v>32500</v>
      </c>
      <c r="FN324" s="122">
        <f>FN321</f>
        <v>0</v>
      </c>
      <c r="FO324" s="122">
        <f>FO321</f>
        <v>32500</v>
      </c>
      <c r="FQ324" s="122">
        <v>0</v>
      </c>
      <c r="FR324" s="122">
        <v>32500</v>
      </c>
      <c r="FT324" s="122">
        <f>FT321</f>
        <v>32469</v>
      </c>
      <c r="FV324" s="122">
        <f>FV321</f>
        <v>35000</v>
      </c>
      <c r="FW324" s="235">
        <f t="shared" ref="FW324:FW325" si="1556">FV324/FT324</f>
        <v>1.0779512766022976</v>
      </c>
      <c r="FY324" s="122">
        <f>FY321</f>
        <v>0</v>
      </c>
      <c r="FZ324" s="122">
        <f>FZ321</f>
        <v>35000</v>
      </c>
      <c r="GB324" s="122">
        <f>GB321</f>
        <v>0</v>
      </c>
      <c r="GC324" s="122">
        <f>GC321</f>
        <v>35000</v>
      </c>
      <c r="GE324" s="122">
        <f>GE321</f>
        <v>0</v>
      </c>
      <c r="GF324" s="122">
        <f>GF321</f>
        <v>35000</v>
      </c>
      <c r="GH324" s="122">
        <f>GH321</f>
        <v>0</v>
      </c>
      <c r="GI324" s="122">
        <f>GI321</f>
        <v>35000</v>
      </c>
      <c r="GK324" s="122">
        <f>GK321</f>
        <v>0</v>
      </c>
      <c r="GL324" s="122">
        <f>GL321</f>
        <v>35000</v>
      </c>
      <c r="GN324" s="122">
        <f>GN321</f>
        <v>0</v>
      </c>
      <c r="GO324" s="122">
        <f>GO321</f>
        <v>35000</v>
      </c>
      <c r="GQ324" s="122">
        <f>GQ321</f>
        <v>0</v>
      </c>
      <c r="GR324" s="122">
        <f>GR321</f>
        <v>35000</v>
      </c>
      <c r="GT324" s="122">
        <f>GT321</f>
        <v>0</v>
      </c>
      <c r="GU324" s="122">
        <f>GU321</f>
        <v>35000</v>
      </c>
      <c r="GW324" s="122">
        <f>GW321</f>
        <v>0</v>
      </c>
      <c r="GX324" s="122">
        <f>GX321</f>
        <v>35000</v>
      </c>
      <c r="GZ324" s="122">
        <f>GZ321</f>
        <v>0</v>
      </c>
      <c r="HA324" s="430">
        <f>HA321</f>
        <v>35000</v>
      </c>
      <c r="HC324" s="122">
        <f>HC321</f>
        <v>33317</v>
      </c>
      <c r="HE324" s="122">
        <f>HE321</f>
        <v>50000</v>
      </c>
      <c r="HF324" s="235">
        <f>HE324/HC324</f>
        <v>1.5007353603265601</v>
      </c>
    </row>
    <row r="325" spans="1:214" ht="15.75" hidden="1" outlineLevel="2" thickTop="1">
      <c r="A325" s="1" t="s">
        <v>91</v>
      </c>
      <c r="B325" s="1" t="s">
        <v>238</v>
      </c>
      <c r="C325" s="4" t="s">
        <v>239</v>
      </c>
      <c r="D325" s="43">
        <v>292500</v>
      </c>
      <c r="E325" s="34">
        <v>34.19</v>
      </c>
      <c r="F325" s="43">
        <v>172982</v>
      </c>
      <c r="G325" s="34">
        <v>57.81</v>
      </c>
      <c r="H325" s="46">
        <v>100000</v>
      </c>
      <c r="I325" s="36">
        <v>100000</v>
      </c>
      <c r="J325" s="14"/>
      <c r="L325" s="118">
        <v>0</v>
      </c>
      <c r="M325" s="17">
        <f>L325/F325-1</f>
        <v>-1</v>
      </c>
      <c r="N325" s="17">
        <f>L325/I325-1</f>
        <v>-1</v>
      </c>
      <c r="Q325" s="118">
        <v>150000</v>
      </c>
      <c r="R325" s="15">
        <v>100000</v>
      </c>
      <c r="S325" s="118">
        <v>150000</v>
      </c>
      <c r="T325" s="15">
        <f>S325-Q325</f>
        <v>0</v>
      </c>
      <c r="U325" s="16">
        <f>S325/Q325-1</f>
        <v>0</v>
      </c>
      <c r="V325" s="140">
        <v>50000</v>
      </c>
      <c r="W325">
        <v>50000</v>
      </c>
      <c r="Y325" s="118">
        <v>150000</v>
      </c>
      <c r="AA325" s="118">
        <v>270000</v>
      </c>
      <c r="AB325" s="185">
        <f t="shared" ref="AB325" si="1557">AA325-Y325</f>
        <v>120000</v>
      </c>
      <c r="AC325" s="187">
        <f t="shared" ref="AC325" si="1558">AA325-Y325</f>
        <v>120000</v>
      </c>
      <c r="AD325" s="187"/>
      <c r="AE325" s="118">
        <v>270000</v>
      </c>
      <c r="AF325" s="182"/>
      <c r="AH325" s="15">
        <v>240000</v>
      </c>
      <c r="AI325" s="17">
        <f t="shared" si="1552"/>
        <v>0.88888888888888884</v>
      </c>
      <c r="AK325" s="118">
        <v>250000</v>
      </c>
      <c r="AR325">
        <v>100000</v>
      </c>
      <c r="AS325" s="15">
        <f>AR325+AK325</f>
        <v>350000</v>
      </c>
      <c r="AV325" s="15">
        <f t="shared" ref="AV325" si="1559">AS325+AU325</f>
        <v>350000</v>
      </c>
      <c r="AX325" s="15"/>
      <c r="AY325" s="15">
        <f t="shared" ref="AY325" si="1560">AV325+AX325</f>
        <v>350000</v>
      </c>
      <c r="BB325" s="15">
        <f t="shared" ref="BB325" si="1561">AY325+BA325</f>
        <v>350000</v>
      </c>
      <c r="BD325" s="15"/>
      <c r="BE325" s="15">
        <f t="shared" ref="BE325" si="1562">BB325+BD325</f>
        <v>350000</v>
      </c>
      <c r="BG325" s="15"/>
      <c r="BH325" s="15">
        <f t="shared" ref="BH325" si="1563">BE325+BG325</f>
        <v>350000</v>
      </c>
      <c r="BJ325" s="15">
        <v>300000</v>
      </c>
      <c r="BK325" s="235">
        <f t="shared" ref="BK325" si="1564">BJ325/BH325</f>
        <v>0.8571428571428571</v>
      </c>
      <c r="BM325" s="227">
        <v>350000</v>
      </c>
      <c r="BN325" s="235">
        <f t="shared" ref="BN325" si="1565">BM325/BJ325</f>
        <v>1.1666666666666667</v>
      </c>
      <c r="BO325" s="235">
        <f t="shared" ref="BO325" si="1566">BM325/BH325</f>
        <v>1</v>
      </c>
      <c r="BQ325" s="15"/>
      <c r="BR325" s="15">
        <f t="shared" ref="BR325" si="1567">BM325+BQ325</f>
        <v>350000</v>
      </c>
      <c r="BT325" s="15"/>
      <c r="BU325" s="15">
        <f>BR325+BT325</f>
        <v>350000</v>
      </c>
      <c r="BW325" s="15"/>
      <c r="BX325" s="15">
        <f>BU325+BW325</f>
        <v>350000</v>
      </c>
      <c r="BZ325" s="15"/>
      <c r="CA325" s="15">
        <f>BX325+BZ325</f>
        <v>350000</v>
      </c>
      <c r="CC325" s="15"/>
      <c r="CD325" s="15">
        <f>CA325+CC325</f>
        <v>350000</v>
      </c>
      <c r="CF325" s="15"/>
      <c r="CG325" s="15">
        <f>CD325+CF325</f>
        <v>350000</v>
      </c>
      <c r="CI325" s="15"/>
      <c r="CJ325" s="15">
        <f>CG325+CI325</f>
        <v>350000</v>
      </c>
      <c r="CM325" s="15">
        <f>CJ325+CL325</f>
        <v>350000</v>
      </c>
      <c r="CP325" s="15">
        <f>CM325+CO325</f>
        <v>350000</v>
      </c>
      <c r="CS325" s="15">
        <f>CP325+CR325</f>
        <v>350000</v>
      </c>
      <c r="CU325" s="227">
        <v>100000</v>
      </c>
      <c r="CV325" s="15">
        <f>CS325+CU325</f>
        <v>450000</v>
      </c>
      <c r="CX325" s="227"/>
      <c r="CY325" s="15">
        <f>CV325+CX325</f>
        <v>450000</v>
      </c>
      <c r="DA325" s="15">
        <v>450000</v>
      </c>
      <c r="DC325" s="15">
        <v>200000</v>
      </c>
      <c r="DE325" s="15"/>
      <c r="DF325" s="15">
        <f t="shared" ref="DF325" si="1568">DC325+DE325</f>
        <v>200000</v>
      </c>
      <c r="DH325" s="15"/>
      <c r="DI325" s="15">
        <f t="shared" ref="DI325" si="1569">DF325+DH325</f>
        <v>200000</v>
      </c>
      <c r="DK325" s="15"/>
      <c r="DL325" s="15">
        <f t="shared" ref="DL325" si="1570">DI325+DK325</f>
        <v>200000</v>
      </c>
      <c r="DN325" s="15"/>
      <c r="DO325" s="15">
        <f t="shared" ref="DO325" si="1571">DL325+DN325</f>
        <v>200000</v>
      </c>
      <c r="DQ325" s="15"/>
      <c r="DR325" s="15">
        <f t="shared" ref="DR325" si="1572">DO325+DQ325</f>
        <v>200000</v>
      </c>
      <c r="DT325" s="15"/>
      <c r="DU325" s="15">
        <f t="shared" ref="DU325" si="1573">DR325+DT325</f>
        <v>200000</v>
      </c>
      <c r="DW325" s="227">
        <v>900000</v>
      </c>
      <c r="DX325" s="15">
        <f t="shared" ref="DX325" si="1574">DU325+DW325</f>
        <v>1100000</v>
      </c>
      <c r="DZ325" s="15"/>
      <c r="EA325" s="15">
        <f t="shared" ref="EA325" si="1575">DX325+DZ325</f>
        <v>1100000</v>
      </c>
      <c r="EC325" s="15"/>
      <c r="ED325" s="15">
        <f t="shared" ref="ED325" si="1576">EA325+EC325</f>
        <v>1100000</v>
      </c>
      <c r="EF325" s="15"/>
      <c r="EG325" s="15">
        <f t="shared" ref="EG325" si="1577">ED325+EF325</f>
        <v>1100000</v>
      </c>
      <c r="EI325" s="15">
        <v>1093628</v>
      </c>
      <c r="EK325" s="15">
        <v>100000</v>
      </c>
      <c r="EM325" s="15"/>
      <c r="EN325" s="15">
        <f t="shared" ref="EN325" si="1578">EK325+EM325</f>
        <v>100000</v>
      </c>
      <c r="EP325" s="15"/>
      <c r="EQ325" s="15">
        <f t="shared" ref="EQ325" si="1579">EN325+EP325</f>
        <v>100000</v>
      </c>
      <c r="ES325" s="15"/>
      <c r="ET325" s="15">
        <f t="shared" ref="ET325" si="1580">EQ325+ES325</f>
        <v>100000</v>
      </c>
      <c r="EW325" s="15">
        <f t="shared" ref="EW325" si="1581">ET325+EV325</f>
        <v>100000</v>
      </c>
      <c r="EZ325" s="15">
        <f t="shared" ref="EZ325" si="1582">EW325+EY325</f>
        <v>100000</v>
      </c>
      <c r="FC325" s="15">
        <f t="shared" ref="FC325" si="1583">EZ325+FB325</f>
        <v>100000</v>
      </c>
      <c r="FF325" s="15">
        <f t="shared" ref="FF325" si="1584">FC325+FE325</f>
        <v>100000</v>
      </c>
      <c r="FI325" s="15">
        <f t="shared" ref="FI325" si="1585">FF325+FH325</f>
        <v>100000</v>
      </c>
      <c r="FK325" s="227">
        <v>120000</v>
      </c>
      <c r="FL325" s="15">
        <f t="shared" ref="FL325" si="1586">FI325+FK325</f>
        <v>220000</v>
      </c>
      <c r="FO325" s="15">
        <f t="shared" ref="FO325" si="1587">FL325+FN325</f>
        <v>220000</v>
      </c>
      <c r="FR325" s="15">
        <v>220000</v>
      </c>
      <c r="FT325" s="15">
        <v>218305</v>
      </c>
      <c r="FV325" s="15">
        <v>200000</v>
      </c>
      <c r="FW325" s="235">
        <f t="shared" si="1556"/>
        <v>0.9161494239710497</v>
      </c>
      <c r="FZ325" s="15">
        <f>FV325+FY325</f>
        <v>200000</v>
      </c>
      <c r="GB325" s="15"/>
      <c r="GC325" s="15">
        <f>FZ325+GB325</f>
        <v>200000</v>
      </c>
      <c r="GE325" s="15"/>
      <c r="GF325" s="15">
        <f>GC325+GE325</f>
        <v>200000</v>
      </c>
      <c r="GH325" s="15"/>
      <c r="GI325" s="15">
        <f>GF325+GH325</f>
        <v>200000</v>
      </c>
      <c r="GK325" s="227">
        <v>6000</v>
      </c>
      <c r="GL325" s="15">
        <f>GI325+GK325</f>
        <v>206000</v>
      </c>
      <c r="GN325" s="15"/>
      <c r="GO325" s="15">
        <f>GL325+GN325</f>
        <v>206000</v>
      </c>
      <c r="GQ325" s="15"/>
      <c r="GR325" s="15">
        <f>GO325+GQ325</f>
        <v>206000</v>
      </c>
      <c r="GT325" s="227">
        <v>94000</v>
      </c>
      <c r="GU325" s="15">
        <f>GR325+GT325</f>
        <v>300000</v>
      </c>
      <c r="GW325" s="15"/>
      <c r="GX325" s="15">
        <f>GU325+GW325</f>
        <v>300000</v>
      </c>
      <c r="GZ325" s="15"/>
      <c r="HA325" s="189">
        <f>GX325+GZ325</f>
        <v>300000</v>
      </c>
      <c r="HC325" s="189">
        <v>296178</v>
      </c>
      <c r="HE325" s="15">
        <v>300000</v>
      </c>
      <c r="HF325" s="235">
        <f>HE325/HC325</f>
        <v>1.0129044020825315</v>
      </c>
    </row>
    <row r="326" spans="1:214" hidden="1" outlineLevel="2">
      <c r="A326" s="1" t="s">
        <v>91</v>
      </c>
      <c r="B326" s="1" t="s">
        <v>240</v>
      </c>
      <c r="C326" s="4" t="s">
        <v>241</v>
      </c>
      <c r="D326" s="43">
        <v>50000</v>
      </c>
      <c r="E326" s="34">
        <v>0</v>
      </c>
      <c r="F326" s="43">
        <v>50000</v>
      </c>
      <c r="G326" s="34">
        <v>0</v>
      </c>
      <c r="H326" s="46">
        <v>0</v>
      </c>
      <c r="I326" s="36">
        <v>0</v>
      </c>
      <c r="J326" s="14"/>
      <c r="L326" s="118">
        <v>0</v>
      </c>
      <c r="M326" s="17">
        <f>L326/F326-1</f>
        <v>-1</v>
      </c>
      <c r="N326" s="17" t="e">
        <f>L326/I326-1</f>
        <v>#DIV/0!</v>
      </c>
      <c r="Y326" s="118"/>
      <c r="AF326" s="182"/>
      <c r="AH326" s="15"/>
      <c r="AX326" s="15"/>
      <c r="BD326" s="15"/>
      <c r="BG326" s="15"/>
      <c r="DE326" s="15"/>
      <c r="DH326" s="15"/>
      <c r="DK326" s="15"/>
      <c r="DN326" s="15"/>
      <c r="DQ326" s="15"/>
      <c r="DT326" s="15"/>
      <c r="DW326" s="15"/>
      <c r="DZ326" s="15"/>
      <c r="EC326" s="15"/>
      <c r="EF326" s="15"/>
      <c r="EK326" s="15"/>
      <c r="EM326" s="15"/>
      <c r="EP326" s="15"/>
      <c r="ES326" s="15"/>
      <c r="GB326" s="15"/>
      <c r="GE326" s="15"/>
      <c r="GH326" s="15"/>
      <c r="GK326" s="15"/>
      <c r="GN326" s="15"/>
      <c r="GQ326" s="15"/>
      <c r="GT326" s="15"/>
      <c r="GW326" s="15"/>
      <c r="GZ326" s="15"/>
    </row>
    <row r="327" spans="1:214" hidden="1" outlineLevel="2">
      <c r="A327" s="1" t="s">
        <v>91</v>
      </c>
      <c r="B327" s="1" t="s">
        <v>242</v>
      </c>
      <c r="C327" s="4" t="s">
        <v>243</v>
      </c>
      <c r="D327" s="43">
        <v>0</v>
      </c>
      <c r="E327" s="34">
        <v>0</v>
      </c>
      <c r="F327" s="43">
        <v>0</v>
      </c>
      <c r="G327" s="34">
        <v>0</v>
      </c>
      <c r="H327" s="46">
        <v>924000</v>
      </c>
      <c r="I327" s="36">
        <v>924000</v>
      </c>
      <c r="J327" s="14"/>
      <c r="L327" s="118">
        <v>0</v>
      </c>
      <c r="M327" s="17" t="e">
        <f>L327/F327-1</f>
        <v>#DIV/0!</v>
      </c>
      <c r="N327" s="17">
        <f>L327/I327-1</f>
        <v>-1</v>
      </c>
      <c r="Q327" s="118">
        <v>0</v>
      </c>
      <c r="R327" s="15">
        <v>60000</v>
      </c>
      <c r="T327" s="15">
        <f>S327-Q327</f>
        <v>0</v>
      </c>
      <c r="U327" s="16" t="e">
        <f>S327/Q327-1</f>
        <v>#DIV/0!</v>
      </c>
      <c r="Y327" s="118"/>
      <c r="AF327" s="182"/>
      <c r="AH327" s="187">
        <v>1210000</v>
      </c>
      <c r="AX327" s="15"/>
      <c r="BD327" s="15"/>
      <c r="BG327" s="15"/>
      <c r="BJ327" s="15">
        <v>330000</v>
      </c>
      <c r="BM327" s="15"/>
      <c r="BN327" s="235">
        <f t="shared" ref="BN327:BN328" si="1588">BM327/BJ327</f>
        <v>0</v>
      </c>
      <c r="BO327" s="235" t="e">
        <f t="shared" ref="BO327:BO328" si="1589">BM327/BH327</f>
        <v>#DIV/0!</v>
      </c>
      <c r="BQ327" s="15"/>
      <c r="BR327" s="15"/>
      <c r="BT327" s="15"/>
      <c r="BU327" s="15"/>
      <c r="BW327" s="15"/>
      <c r="BX327" s="15"/>
      <c r="BZ327" s="15"/>
      <c r="CA327" s="15"/>
      <c r="CC327" s="15"/>
      <c r="CD327" s="15"/>
      <c r="CF327" s="15"/>
      <c r="CG327" s="15"/>
      <c r="CI327" s="15"/>
      <c r="CJ327" s="15"/>
      <c r="CM327" s="15"/>
      <c r="CP327" s="15"/>
      <c r="CS327" s="15"/>
      <c r="CV327" s="15"/>
      <c r="CY327" s="15"/>
      <c r="DA327" s="15">
        <v>1686000</v>
      </c>
      <c r="DE327" s="15"/>
      <c r="DH327" s="15"/>
      <c r="DK327" s="15"/>
      <c r="DN327" s="15"/>
      <c r="DQ327" s="15"/>
      <c r="DT327" s="15"/>
      <c r="DW327" s="15"/>
      <c r="DZ327" s="15"/>
      <c r="EC327" s="15"/>
      <c r="EF327" s="15"/>
      <c r="EI327" s="15">
        <v>2019200</v>
      </c>
      <c r="EK327" s="15"/>
      <c r="EM327" s="15"/>
      <c r="EP327" s="15"/>
      <c r="ES327" s="15"/>
      <c r="FT327" s="15">
        <v>621000</v>
      </c>
      <c r="GB327" s="15"/>
      <c r="GE327" s="15"/>
      <c r="GH327" s="15"/>
      <c r="GK327" s="15"/>
      <c r="GN327" s="15"/>
      <c r="GQ327" s="15"/>
      <c r="GT327" s="15"/>
      <c r="GW327" s="15"/>
      <c r="GZ327" s="15"/>
    </row>
    <row r="328" spans="1:214" hidden="1" outlineLevel="2">
      <c r="A328" s="1" t="s">
        <v>91</v>
      </c>
      <c r="B328" s="1" t="s">
        <v>244</v>
      </c>
      <c r="C328" s="4" t="s">
        <v>245</v>
      </c>
      <c r="D328" s="43">
        <v>0</v>
      </c>
      <c r="E328" s="34">
        <v>0</v>
      </c>
      <c r="F328" s="43">
        <v>0</v>
      </c>
      <c r="G328" s="34">
        <v>0</v>
      </c>
      <c r="H328" s="46">
        <v>152902</v>
      </c>
      <c r="I328" s="36">
        <v>152902</v>
      </c>
      <c r="J328" s="14"/>
      <c r="L328" s="118">
        <v>0</v>
      </c>
      <c r="M328" s="17" t="e">
        <f>L328/F328-1</f>
        <v>#DIV/0!</v>
      </c>
      <c r="N328" s="17">
        <f>L328/I328-1</f>
        <v>-1</v>
      </c>
      <c r="Y328" s="118"/>
      <c r="AF328" s="182"/>
      <c r="AH328" s="187">
        <v>59500</v>
      </c>
      <c r="AX328" s="15"/>
      <c r="BD328" s="15"/>
      <c r="BG328" s="15"/>
      <c r="BJ328" s="15">
        <v>70800</v>
      </c>
      <c r="BM328" s="15"/>
      <c r="BN328" s="235">
        <f t="shared" si="1588"/>
        <v>0</v>
      </c>
      <c r="BO328" s="235" t="e">
        <f t="shared" si="1589"/>
        <v>#DIV/0!</v>
      </c>
      <c r="BQ328" s="15"/>
      <c r="BR328" s="15"/>
      <c r="BT328" s="15"/>
      <c r="BU328" s="15"/>
      <c r="BW328" s="15"/>
      <c r="BX328" s="15"/>
      <c r="BZ328" s="15"/>
      <c r="CA328" s="15"/>
      <c r="CC328" s="15"/>
      <c r="CD328" s="15"/>
      <c r="CF328" s="15"/>
      <c r="CG328" s="15"/>
      <c r="CI328" s="15"/>
      <c r="CJ328" s="15"/>
      <c r="CM328" s="15"/>
      <c r="CP328" s="15"/>
      <c r="CS328" s="15"/>
      <c r="CV328" s="15"/>
      <c r="CY328" s="15"/>
      <c r="DA328" s="15">
        <v>196500</v>
      </c>
      <c r="DE328" s="15"/>
      <c r="DH328" s="15"/>
      <c r="DK328" s="15"/>
      <c r="DN328" s="15"/>
      <c r="DQ328" s="15"/>
      <c r="DT328" s="15"/>
      <c r="DW328" s="15"/>
      <c r="DZ328" s="15"/>
      <c r="EC328" s="15"/>
      <c r="EF328" s="15"/>
      <c r="EI328" s="15">
        <v>30000</v>
      </c>
      <c r="EK328" s="15"/>
      <c r="EM328" s="15"/>
      <c r="EP328" s="15"/>
      <c r="ES328" s="15"/>
      <c r="FT328" s="15">
        <v>145000</v>
      </c>
      <c r="GB328" s="15"/>
      <c r="GE328" s="15"/>
      <c r="GH328" s="15"/>
      <c r="GK328" s="15"/>
      <c r="GN328" s="15"/>
      <c r="GQ328" s="15"/>
      <c r="GT328" s="15"/>
      <c r="GW328" s="15"/>
      <c r="GZ328" s="15"/>
    </row>
    <row r="329" spans="1:214" hidden="1" outlineLevel="2">
      <c r="A329" s="1" t="s">
        <v>91</v>
      </c>
      <c r="B329" s="4" t="s">
        <v>46</v>
      </c>
      <c r="C329" s="4" t="s">
        <v>96</v>
      </c>
      <c r="D329" s="43">
        <v>342500</v>
      </c>
      <c r="E329" s="34">
        <v>343.62</v>
      </c>
      <c r="F329" s="43">
        <v>222982</v>
      </c>
      <c r="G329" s="34">
        <v>527.79999999999995</v>
      </c>
      <c r="H329" s="46">
        <v>1176902</v>
      </c>
      <c r="Y329" s="118"/>
      <c r="AF329" s="182"/>
      <c r="AH329" s="15"/>
      <c r="AX329" s="15"/>
      <c r="BD329" s="15"/>
      <c r="BG329" s="15"/>
      <c r="BM329" s="15"/>
      <c r="BQ329" s="15"/>
      <c r="BR329" s="15"/>
      <c r="BT329" s="15"/>
      <c r="BU329" s="15"/>
      <c r="BW329" s="15"/>
      <c r="BX329" s="15"/>
      <c r="BZ329" s="15"/>
      <c r="CA329" s="15"/>
      <c r="CC329" s="15"/>
      <c r="CD329" s="15"/>
      <c r="CF329" s="15"/>
      <c r="CG329" s="15"/>
      <c r="CI329" s="15"/>
      <c r="CJ329" s="15"/>
      <c r="CM329" s="15"/>
      <c r="CP329" s="15"/>
      <c r="CS329" s="15"/>
      <c r="CV329" s="15"/>
      <c r="CY329" s="15"/>
      <c r="DE329" s="15"/>
      <c r="DH329" s="15"/>
      <c r="DK329" s="15"/>
      <c r="DN329" s="15"/>
      <c r="DQ329" s="15"/>
      <c r="DT329" s="15"/>
      <c r="DU329" t="s">
        <v>463</v>
      </c>
      <c r="DW329" s="15"/>
      <c r="DZ329" s="15"/>
      <c r="EC329" s="15"/>
      <c r="EF329" s="15"/>
      <c r="EK329" s="15"/>
      <c r="EM329" s="15"/>
      <c r="EP329" s="15"/>
      <c r="ES329" s="15"/>
      <c r="GB329" s="15"/>
      <c r="GE329" s="15"/>
      <c r="GH329" s="15"/>
      <c r="GK329" s="15"/>
      <c r="GN329" s="15"/>
      <c r="GQ329" s="15"/>
      <c r="GT329" s="15"/>
      <c r="GW329" s="15"/>
      <c r="GZ329" s="15"/>
    </row>
    <row r="330" spans="1:214" hidden="1" outlineLevel="2">
      <c r="A330" s="1" t="s">
        <v>97</v>
      </c>
      <c r="B330" s="4" t="s">
        <v>48</v>
      </c>
      <c r="C330" s="4" t="s">
        <v>98</v>
      </c>
      <c r="D330" s="43">
        <v>342500</v>
      </c>
      <c r="E330" s="34">
        <v>343.62</v>
      </c>
      <c r="F330" s="43">
        <v>222982</v>
      </c>
      <c r="G330" s="34">
        <v>527.79999999999995</v>
      </c>
      <c r="H330" s="46">
        <v>1176902</v>
      </c>
      <c r="Y330" s="118"/>
      <c r="AF330" s="182"/>
      <c r="AH330" s="15"/>
      <c r="AX330" s="15"/>
      <c r="BD330" s="15"/>
      <c r="BG330" s="15"/>
      <c r="DE330" s="15"/>
      <c r="DH330" s="15"/>
      <c r="DK330" s="15"/>
      <c r="DN330" s="15"/>
      <c r="DQ330" s="15"/>
      <c r="DT330" s="15"/>
      <c r="DW330" s="15"/>
      <c r="DZ330" s="15"/>
      <c r="EC330" s="15"/>
      <c r="EF330" s="15"/>
      <c r="EK330" s="15"/>
      <c r="EM330" s="15"/>
      <c r="EP330" s="15"/>
      <c r="ES330" s="15"/>
      <c r="GB330" s="15"/>
      <c r="GE330" s="15"/>
      <c r="GH330" s="15"/>
      <c r="GK330" s="15"/>
      <c r="GN330" s="15"/>
      <c r="GQ330" s="15"/>
      <c r="GT330" s="15"/>
      <c r="GW330" s="15"/>
      <c r="GZ330" s="15"/>
    </row>
    <row r="331" spans="1:214" ht="14.25" customHeight="1" collapsed="1" thickTop="1" thickBot="1">
      <c r="A331" s="54" t="s">
        <v>91</v>
      </c>
      <c r="B331" s="55" t="s">
        <v>316</v>
      </c>
      <c r="C331" s="56" t="s">
        <v>354</v>
      </c>
      <c r="D331" s="57">
        <f>SUM(D325:D328)</f>
        <v>342500</v>
      </c>
      <c r="E331" s="58"/>
      <c r="F331" s="57">
        <f>SUM(F325:F328)</f>
        <v>222982</v>
      </c>
      <c r="G331" s="58"/>
      <c r="H331" s="57"/>
      <c r="I331" s="57">
        <f>SUM(I325:I328)</f>
        <v>1176902</v>
      </c>
      <c r="J331" s="138" t="e">
        <f>I331/$I$350</f>
        <v>#REF!</v>
      </c>
      <c r="K331" s="60"/>
      <c r="L331" s="122">
        <f>SUM(L325:L328)</f>
        <v>0</v>
      </c>
      <c r="M331" s="61">
        <f>L331/F331-1</f>
        <v>-1</v>
      </c>
      <c r="N331" s="61">
        <f>L331/I331-1</f>
        <v>-1</v>
      </c>
      <c r="Q331" s="122">
        <f>SUM(Q325:Q328)</f>
        <v>150000</v>
      </c>
      <c r="R331" s="122">
        <f>SUM(R325:R328)</f>
        <v>160000</v>
      </c>
      <c r="S331" s="122">
        <f>SUM(S325:S328)</f>
        <v>150000</v>
      </c>
      <c r="T331" s="122">
        <f>SUM(T325:T328)</f>
        <v>0</v>
      </c>
      <c r="U331" s="155">
        <f>S331/Q331-1</f>
        <v>0</v>
      </c>
      <c r="Y331" s="122">
        <f>SUM(Y325:Y328)</f>
        <v>150000</v>
      </c>
      <c r="AA331" s="122">
        <f>SUM(AA325:AA328)</f>
        <v>270000</v>
      </c>
      <c r="AB331" s="122">
        <f>SUM(AB325:AB328)</f>
        <v>120000</v>
      </c>
      <c r="AE331" s="122">
        <f>SUM(AE325:AE328)</f>
        <v>270000</v>
      </c>
      <c r="AF331" s="182"/>
      <c r="AH331" s="122">
        <f>SUM(AH325:AH326)</f>
        <v>240000</v>
      </c>
      <c r="AI331" s="17">
        <f t="shared" ref="AI331:AI333" si="1590">AH331/AE331</f>
        <v>0.88888888888888884</v>
      </c>
      <c r="AK331" s="122">
        <f>SUM(AK325:AK326)</f>
        <v>250000</v>
      </c>
      <c r="AL331" s="193" t="e">
        <f>AK331/L331</f>
        <v>#DIV/0!</v>
      </c>
      <c r="AM331" s="17">
        <f>AK331/AE331</f>
        <v>0.92592592592592593</v>
      </c>
      <c r="AN331" s="17">
        <f>AK331/AH331</f>
        <v>1.0416666666666667</v>
      </c>
      <c r="AR331" s="122">
        <f>SUM(AR325:AR326)</f>
        <v>100000</v>
      </c>
      <c r="AS331" s="122">
        <f>SUM(AS325:AS326)</f>
        <v>350000</v>
      </c>
      <c r="AU331" s="122">
        <f>SUM(AU325:AU326)</f>
        <v>0</v>
      </c>
      <c r="AV331" s="122">
        <f>SUM(AV325:AV326)</f>
        <v>350000</v>
      </c>
      <c r="AX331" s="122">
        <f>SUM(AX325:AX326)</f>
        <v>0</v>
      </c>
      <c r="AY331" s="122">
        <f>SUM(AY325:AY326)</f>
        <v>350000</v>
      </c>
      <c r="BA331" s="122">
        <f>SUM(BA325:BA326)</f>
        <v>0</v>
      </c>
      <c r="BB331" s="122">
        <f>SUM(BB325:BB326)</f>
        <v>350000</v>
      </c>
      <c r="BD331" s="122">
        <f>SUM(BD325:BD326)</f>
        <v>0</v>
      </c>
      <c r="BE331" s="122">
        <f>SUM(BE325:BE326)</f>
        <v>350000</v>
      </c>
      <c r="BG331" s="122">
        <f>SUM(BG325:BG326)</f>
        <v>0</v>
      </c>
      <c r="BH331" s="122">
        <f>SUM(BH325:BH326)</f>
        <v>350000</v>
      </c>
      <c r="BJ331" s="122">
        <f>SUM(BJ325:BJ326)</f>
        <v>300000</v>
      </c>
      <c r="BK331" s="236">
        <f t="shared" ref="BK331" si="1591">BJ331/BH331</f>
        <v>0.8571428571428571</v>
      </c>
      <c r="BM331" s="122">
        <f>SUM(BM325:BM326)</f>
        <v>350000</v>
      </c>
      <c r="BN331" s="236">
        <f t="shared" ref="BN331" si="1592">BM331/BJ331</f>
        <v>1.1666666666666667</v>
      </c>
      <c r="BO331" s="236">
        <f t="shared" ref="BO331" si="1593">BM331/BH331</f>
        <v>1</v>
      </c>
      <c r="BQ331" s="122">
        <f>SUM(BQ325:BQ326)</f>
        <v>0</v>
      </c>
      <c r="BR331" s="122">
        <f>SUM(BR325:BR326)</f>
        <v>350000</v>
      </c>
      <c r="BT331" s="122">
        <f>SUM(BT325:BT326)</f>
        <v>0</v>
      </c>
      <c r="BU331" s="122">
        <f>SUM(BU325:BU326)</f>
        <v>350000</v>
      </c>
      <c r="BW331" s="122">
        <f>SUM(BW325:BW326)</f>
        <v>0</v>
      </c>
      <c r="BX331" s="122">
        <f>SUM(BX325:BX326)</f>
        <v>350000</v>
      </c>
      <c r="BZ331" s="122">
        <f>SUM(BZ325:BZ326)</f>
        <v>0</v>
      </c>
      <c r="CA331" s="122">
        <f>SUM(CA325:CA326)</f>
        <v>350000</v>
      </c>
      <c r="CC331" s="122">
        <f>SUM(CC325:CC326)</f>
        <v>0</v>
      </c>
      <c r="CD331" s="122">
        <f>SUM(CD325:CD326)</f>
        <v>350000</v>
      </c>
      <c r="CF331" s="122">
        <f>SUM(CF325:CF326)</f>
        <v>0</v>
      </c>
      <c r="CG331" s="122">
        <f>SUM(CG325:CG326)</f>
        <v>350000</v>
      </c>
      <c r="CI331" s="122">
        <f>SUM(CI325:CI326)</f>
        <v>0</v>
      </c>
      <c r="CJ331" s="122">
        <f>SUM(CJ325:CJ326)</f>
        <v>350000</v>
      </c>
      <c r="CL331" s="319">
        <f>SUM(CL325:CL326)</f>
        <v>0</v>
      </c>
      <c r="CM331" s="122">
        <f>SUM(CM325:CM326)</f>
        <v>350000</v>
      </c>
      <c r="CO331" s="122">
        <f>SUM(CO325:CO326)</f>
        <v>0</v>
      </c>
      <c r="CP331" s="122">
        <f>SUM(CP325:CP326)</f>
        <v>350000</v>
      </c>
      <c r="CR331" s="122">
        <f>SUM(CR325:CR326)</f>
        <v>0</v>
      </c>
      <c r="CS331" s="122">
        <f>SUM(CS325:CS326)</f>
        <v>350000</v>
      </c>
      <c r="CU331" s="122">
        <f>SUM(CU325:CU326)</f>
        <v>100000</v>
      </c>
      <c r="CV331" s="122">
        <f>SUM(CV325:CV326)</f>
        <v>450000</v>
      </c>
      <c r="CX331" s="122">
        <f>SUM(CX325:CX326)</f>
        <v>0</v>
      </c>
      <c r="CY331" s="122">
        <f>SUM(CY325:CY326)</f>
        <v>450000</v>
      </c>
      <c r="DA331" s="122">
        <f>SUM(DA325:DA326)</f>
        <v>450000</v>
      </c>
      <c r="DC331" s="122">
        <f>SUM(DC325:DC326)</f>
        <v>200000</v>
      </c>
      <c r="DE331" s="122">
        <f>SUM(DE325:DE326)</f>
        <v>0</v>
      </c>
      <c r="DF331" s="122">
        <f>SUM(DF325:DF326)</f>
        <v>200000</v>
      </c>
      <c r="DH331" s="122">
        <f>SUM(DH325:DH326)</f>
        <v>0</v>
      </c>
      <c r="DI331" s="122">
        <f>SUM(DI325:DI326)</f>
        <v>200000</v>
      </c>
      <c r="DK331" s="122">
        <f>SUM(DK325:DK326)</f>
        <v>0</v>
      </c>
      <c r="DL331" s="122">
        <f>SUM(DL325:DL326)</f>
        <v>200000</v>
      </c>
      <c r="DN331" s="122">
        <f>SUM(DN325:DN326)</f>
        <v>0</v>
      </c>
      <c r="DO331" s="122">
        <f>SUM(DO325:DO326)</f>
        <v>200000</v>
      </c>
      <c r="DQ331" s="122">
        <f>SUM(DQ325:DQ326)</f>
        <v>0</v>
      </c>
      <c r="DR331" s="122">
        <f>SUM(DR325:DR326)</f>
        <v>200000</v>
      </c>
      <c r="DT331" s="122">
        <f>SUM(DT325:DT326)</f>
        <v>0</v>
      </c>
      <c r="DU331" s="122">
        <f>SUM(DU325:DU326)</f>
        <v>200000</v>
      </c>
      <c r="DW331" s="122">
        <f>SUM(DW325:DW326)</f>
        <v>900000</v>
      </c>
      <c r="DX331" s="122">
        <f>SUM(DX325:DX326)</f>
        <v>1100000</v>
      </c>
      <c r="DZ331" s="122">
        <f>SUM(DZ325:DZ326)</f>
        <v>0</v>
      </c>
      <c r="EA331" s="122">
        <f>SUM(EA325:EA326)</f>
        <v>1100000</v>
      </c>
      <c r="EC331" s="122">
        <f>SUM(EC325:EC326)</f>
        <v>0</v>
      </c>
      <c r="ED331" s="122">
        <f>SUM(ED325:ED326)</f>
        <v>1100000</v>
      </c>
      <c r="EF331" s="122">
        <f>SUM(EF325:EF326)</f>
        <v>0</v>
      </c>
      <c r="EG331" s="122">
        <f>SUM(EG325:EG326)</f>
        <v>1100000</v>
      </c>
      <c r="EI331" s="122">
        <f>SUM(EI325:EI326)</f>
        <v>1093628</v>
      </c>
      <c r="EK331" s="122">
        <f>SUM(EK325:EK326)</f>
        <v>100000</v>
      </c>
      <c r="EM331" s="122">
        <f>SUM(EM325:EM326)</f>
        <v>0</v>
      </c>
      <c r="EN331" s="122">
        <f>SUM(EN325:EN326)</f>
        <v>100000</v>
      </c>
      <c r="EP331" s="122">
        <f>SUM(EP325:EP326)</f>
        <v>0</v>
      </c>
      <c r="EQ331" s="122">
        <f>SUM(EQ325:EQ326)</f>
        <v>100000</v>
      </c>
      <c r="ES331" s="122">
        <f>SUM(ES325:ES326)</f>
        <v>0</v>
      </c>
      <c r="ET331" s="122">
        <f>SUM(ET325:ET326)</f>
        <v>100000</v>
      </c>
      <c r="EV331" s="122">
        <f>SUM(EV325:EV326)</f>
        <v>0</v>
      </c>
      <c r="EW331" s="122">
        <f>SUM(EW325:EW326)</f>
        <v>100000</v>
      </c>
      <c r="EY331" s="122">
        <f>SUM(EY325:EY326)</f>
        <v>0</v>
      </c>
      <c r="EZ331" s="122">
        <f>SUM(EZ325:EZ326)</f>
        <v>100000</v>
      </c>
      <c r="FB331" s="122">
        <f>SUM(FB325:FB326)</f>
        <v>0</v>
      </c>
      <c r="FC331" s="122">
        <f>SUM(FC325:FC326)</f>
        <v>100000</v>
      </c>
      <c r="FE331" s="122">
        <f>SUM(FE325:FE326)</f>
        <v>0</v>
      </c>
      <c r="FF331" s="122">
        <f>SUM(FF325:FF326)</f>
        <v>100000</v>
      </c>
      <c r="FH331" s="122">
        <f>SUM(FH325:FH326)</f>
        <v>0</v>
      </c>
      <c r="FI331" s="122">
        <f>SUM(FI325:FI326)</f>
        <v>100000</v>
      </c>
      <c r="FK331" s="122">
        <f>SUM(FK325:FK326)</f>
        <v>120000</v>
      </c>
      <c r="FL331" s="122">
        <f>SUM(FL325:FL326)</f>
        <v>220000</v>
      </c>
      <c r="FN331" s="122">
        <f>SUM(FN325:FN326)</f>
        <v>0</v>
      </c>
      <c r="FO331" s="122">
        <f>SUM(FO325:FO326)</f>
        <v>220000</v>
      </c>
      <c r="FQ331" s="122">
        <v>0</v>
      </c>
      <c r="FR331" s="122">
        <v>220000</v>
      </c>
      <c r="FT331" s="122">
        <f>SUM(FT325:FT326)</f>
        <v>218305</v>
      </c>
      <c r="FV331" s="122">
        <f>SUM(FV325:FV326)</f>
        <v>200000</v>
      </c>
      <c r="FW331" s="235">
        <f t="shared" ref="FW331" si="1594">FV331/FT331</f>
        <v>0.9161494239710497</v>
      </c>
      <c r="FY331" s="122">
        <f>SUM(FY325:FY326)</f>
        <v>0</v>
      </c>
      <c r="FZ331" s="122">
        <f>SUM(FZ325:FZ326)</f>
        <v>200000</v>
      </c>
      <c r="GB331" s="122">
        <f>SUM(GB325:GB326)</f>
        <v>0</v>
      </c>
      <c r="GC331" s="122">
        <f>SUM(GC325:GC326)</f>
        <v>200000</v>
      </c>
      <c r="GE331" s="122">
        <f>SUM(GE325:GE326)</f>
        <v>0</v>
      </c>
      <c r="GF331" s="122">
        <f>SUM(GF325:GF326)</f>
        <v>200000</v>
      </c>
      <c r="GH331" s="122">
        <f>SUM(GH325:GH326)</f>
        <v>0</v>
      </c>
      <c r="GI331" s="122">
        <f>SUM(GI325:GI326)</f>
        <v>200000</v>
      </c>
      <c r="GK331" s="122">
        <f>SUM(GK325:GK326)</f>
        <v>6000</v>
      </c>
      <c r="GL331" s="122">
        <f>SUM(GL325:GL326)</f>
        <v>206000</v>
      </c>
      <c r="GN331" s="122">
        <f>SUM(GN325:GN326)</f>
        <v>0</v>
      </c>
      <c r="GO331" s="122">
        <f>SUM(GO325:GO326)</f>
        <v>206000</v>
      </c>
      <c r="GQ331" s="122">
        <f>SUM(GQ325:GQ326)</f>
        <v>0</v>
      </c>
      <c r="GR331" s="122">
        <f>SUM(GR325:GR326)</f>
        <v>206000</v>
      </c>
      <c r="GT331" s="122">
        <f>SUM(GT325:GT326)</f>
        <v>94000</v>
      </c>
      <c r="GU331" s="122">
        <f>SUM(GU325:GU326)</f>
        <v>300000</v>
      </c>
      <c r="GW331" s="122">
        <f>SUM(GW325:GW326)</f>
        <v>0</v>
      </c>
      <c r="GX331" s="122">
        <f>SUM(GX325:GX326)</f>
        <v>300000</v>
      </c>
      <c r="GZ331" s="122">
        <f>SUM(GZ325:GZ326)</f>
        <v>0</v>
      </c>
      <c r="HA331" s="430">
        <f>SUM(HA325:HA326)</f>
        <v>300000</v>
      </c>
      <c r="HC331" s="122">
        <f>SUM(HC325:HC326)</f>
        <v>296178</v>
      </c>
      <c r="HE331" s="122">
        <f>SUM(HE325:HE326)</f>
        <v>300000</v>
      </c>
      <c r="HF331" s="235">
        <f>HE331/HC331</f>
        <v>1.0129044020825315</v>
      </c>
    </row>
    <row r="332" spans="1:214" ht="15.75" hidden="1" outlineLevel="2" thickTop="1">
      <c r="A332" s="1" t="s">
        <v>246</v>
      </c>
      <c r="B332" s="1" t="s">
        <v>247</v>
      </c>
      <c r="C332" s="4" t="s">
        <v>248</v>
      </c>
      <c r="D332" s="43">
        <v>75000</v>
      </c>
      <c r="E332" s="34">
        <v>17.45</v>
      </c>
      <c r="F332" s="43">
        <v>75000</v>
      </c>
      <c r="G332" s="34">
        <v>17.45</v>
      </c>
      <c r="H332" s="46">
        <v>13084</v>
      </c>
      <c r="I332" s="15">
        <v>13084</v>
      </c>
      <c r="K332" t="s">
        <v>332</v>
      </c>
      <c r="L332" s="118">
        <v>20000</v>
      </c>
      <c r="M332" s="17">
        <f>L332/F332-1</f>
        <v>-0.73333333333333339</v>
      </c>
      <c r="N332" s="17">
        <f>L332/I332-1</f>
        <v>0.52858453072454914</v>
      </c>
      <c r="Q332" s="118">
        <v>60000</v>
      </c>
      <c r="R332" s="15">
        <v>7570</v>
      </c>
      <c r="S332" s="118">
        <v>30000</v>
      </c>
      <c r="T332" s="15">
        <f>S332-Q332</f>
        <v>-30000</v>
      </c>
      <c r="U332" s="16">
        <f>S332/Q332-1</f>
        <v>-0.5</v>
      </c>
      <c r="Y332" s="118">
        <v>30000</v>
      </c>
      <c r="AA332" s="118">
        <v>20000</v>
      </c>
      <c r="AB332" s="185">
        <f t="shared" ref="AB332" si="1595">AA332-Y332</f>
        <v>-10000</v>
      </c>
      <c r="AC332" s="187">
        <f t="shared" ref="AC332" si="1596">AA332-Y332</f>
        <v>-10000</v>
      </c>
      <c r="AD332" s="187"/>
      <c r="AE332" s="118">
        <v>20000</v>
      </c>
      <c r="AF332" s="182"/>
      <c r="AH332" s="15">
        <v>14304</v>
      </c>
      <c r="AI332" s="17">
        <f t="shared" si="1590"/>
        <v>0.71519999999999995</v>
      </c>
      <c r="AK332" s="118">
        <v>20000</v>
      </c>
      <c r="AP332" s="220">
        <v>20000</v>
      </c>
      <c r="AS332" s="15">
        <f>AR332+AK332</f>
        <v>20000</v>
      </c>
      <c r="AV332" s="15">
        <f t="shared" ref="AV332" si="1597">AS332+AU332</f>
        <v>20000</v>
      </c>
      <c r="AX332" s="15"/>
      <c r="AY332" s="15">
        <f t="shared" ref="AY332" si="1598">AV332+AX332</f>
        <v>20000</v>
      </c>
      <c r="BB332" s="15">
        <f t="shared" ref="BB332" si="1599">AY332+BA332</f>
        <v>20000</v>
      </c>
      <c r="BD332" s="15">
        <v>7000</v>
      </c>
      <c r="BE332" s="15">
        <f t="shared" ref="BE332" si="1600">BB332+BD332</f>
        <v>27000</v>
      </c>
      <c r="BG332" s="15"/>
      <c r="BH332" s="15">
        <f t="shared" ref="BH332" si="1601">BE332+BG332</f>
        <v>27000</v>
      </c>
      <c r="BJ332" s="15">
        <v>22751</v>
      </c>
      <c r="BK332" s="235">
        <f t="shared" ref="BK332" si="1602">BJ332/BH332</f>
        <v>0.84262962962962962</v>
      </c>
      <c r="BM332" s="15">
        <v>23000</v>
      </c>
      <c r="BN332" s="235">
        <f t="shared" ref="BN332" si="1603">BM332/BJ332</f>
        <v>1.010944573864885</v>
      </c>
      <c r="BO332" s="235">
        <f t="shared" ref="BO332" si="1604">BM332/BH332</f>
        <v>0.85185185185185186</v>
      </c>
      <c r="BQ332" s="227">
        <v>-50</v>
      </c>
      <c r="BR332" s="15">
        <f t="shared" ref="BR332" si="1605">BM332+BQ332</f>
        <v>22950</v>
      </c>
      <c r="BU332" s="15">
        <f>BR332+BT332</f>
        <v>22950</v>
      </c>
      <c r="BX332" s="15">
        <f>BU332+BW332</f>
        <v>22950</v>
      </c>
      <c r="CA332" s="15">
        <f>BX332+BZ332</f>
        <v>22950</v>
      </c>
      <c r="CD332" s="15">
        <f>CA332+CC332</f>
        <v>22950</v>
      </c>
      <c r="CG332" s="15">
        <f>CD332+CF332</f>
        <v>22950</v>
      </c>
      <c r="CJ332" s="15">
        <f>CG332+CI332</f>
        <v>22950</v>
      </c>
      <c r="CM332" s="15">
        <f>CJ332+CL332</f>
        <v>22950</v>
      </c>
      <c r="CP332" s="15">
        <f>CM332+CO332</f>
        <v>22950</v>
      </c>
      <c r="CS332" s="15">
        <f>CP332+CR332</f>
        <v>22950</v>
      </c>
      <c r="CV332" s="15">
        <f>CS332+CU332</f>
        <v>22950</v>
      </c>
      <c r="CY332" s="15">
        <f>CV332+CX332</f>
        <v>22950</v>
      </c>
      <c r="DA332" s="15">
        <v>20265</v>
      </c>
      <c r="DC332" s="15">
        <v>20000</v>
      </c>
      <c r="DE332" s="15"/>
      <c r="DF332" s="15">
        <f t="shared" ref="DF332" si="1606">DC332+DE332</f>
        <v>20000</v>
      </c>
      <c r="DH332" s="15"/>
      <c r="DI332" s="15">
        <f t="shared" ref="DI332" si="1607">DF332+DH332</f>
        <v>20000</v>
      </c>
      <c r="DK332" s="15"/>
      <c r="DL332" s="15">
        <f t="shared" ref="DL332" si="1608">DI332+DK332</f>
        <v>20000</v>
      </c>
      <c r="DN332" s="15"/>
      <c r="DO332" s="15">
        <f t="shared" ref="DO332" si="1609">DL332+DN332</f>
        <v>20000</v>
      </c>
      <c r="DQ332" s="15"/>
      <c r="DR332" s="15">
        <f t="shared" ref="DR332" si="1610">DO332+DQ332</f>
        <v>20000</v>
      </c>
      <c r="DT332" s="227">
        <v>4100</v>
      </c>
      <c r="DU332" s="15">
        <f t="shared" ref="DU332" si="1611">DR332+DT332</f>
        <v>24100</v>
      </c>
      <c r="DW332" s="15"/>
      <c r="DX332" s="15">
        <f t="shared" ref="DX332" si="1612">DU332+DW332</f>
        <v>24100</v>
      </c>
      <c r="DZ332" s="15"/>
      <c r="EA332" s="15">
        <f t="shared" ref="EA332" si="1613">DX332+DZ332</f>
        <v>24100</v>
      </c>
      <c r="EC332" s="15"/>
      <c r="ED332" s="15">
        <f t="shared" ref="ED332" si="1614">EA332+EC332</f>
        <v>24100</v>
      </c>
      <c r="EF332" s="15"/>
      <c r="EG332" s="15">
        <f t="shared" ref="EG332" si="1615">ED332+EF332</f>
        <v>24100</v>
      </c>
      <c r="EI332" s="15">
        <v>4025</v>
      </c>
      <c r="EK332" s="15">
        <v>10000</v>
      </c>
      <c r="EM332" s="15"/>
      <c r="EN332" s="15">
        <f t="shared" ref="EN332:EN333" si="1616">EK332+EM332</f>
        <v>10000</v>
      </c>
      <c r="EP332" s="227">
        <v>700</v>
      </c>
      <c r="EQ332" s="15">
        <f t="shared" ref="EQ332:EQ333" si="1617">EN332+EP332</f>
        <v>10700</v>
      </c>
      <c r="ES332" s="227">
        <v>800</v>
      </c>
      <c r="ET332" s="15">
        <f t="shared" ref="ET332:ET333" si="1618">EQ332+ES332</f>
        <v>11500</v>
      </c>
      <c r="EW332" s="15">
        <f t="shared" ref="EW332:EW333" si="1619">ET332+EV332</f>
        <v>11500</v>
      </c>
      <c r="EZ332" s="15">
        <f t="shared" ref="EZ332:EZ333" si="1620">EW332+EY332</f>
        <v>11500</v>
      </c>
      <c r="FB332" s="227">
        <v>19000</v>
      </c>
      <c r="FC332" s="15">
        <f t="shared" ref="FC332:FC333" si="1621">EZ332+FB332</f>
        <v>30500</v>
      </c>
      <c r="FF332" s="15">
        <f t="shared" ref="FF332:FF333" si="1622">FC332+FE332</f>
        <v>30500</v>
      </c>
      <c r="FI332" s="15">
        <f t="shared" ref="FI332:FI333" si="1623">FF332+FH332</f>
        <v>30500</v>
      </c>
      <c r="FK332" s="227">
        <v>-676</v>
      </c>
      <c r="FL332" s="15">
        <f t="shared" ref="FL332:FL333" si="1624">FI332+FK332</f>
        <v>29824</v>
      </c>
      <c r="FO332" s="15">
        <f t="shared" ref="FO332:FO333" si="1625">FL332+FN332</f>
        <v>29824</v>
      </c>
      <c r="FR332" s="15">
        <v>29824</v>
      </c>
      <c r="FT332" s="15">
        <v>29824</v>
      </c>
      <c r="FV332" s="15">
        <v>30000</v>
      </c>
      <c r="FY332" s="227">
        <v>15000</v>
      </c>
      <c r="FZ332" s="15">
        <f>FV332+FY332</f>
        <v>45000</v>
      </c>
      <c r="GB332" s="15"/>
      <c r="GC332" s="15">
        <f>FZ332+GB332</f>
        <v>45000</v>
      </c>
      <c r="GE332" s="227">
        <v>20000</v>
      </c>
      <c r="GF332" s="15">
        <f>GC332+GE332</f>
        <v>65000</v>
      </c>
      <c r="GH332" s="15"/>
      <c r="GI332" s="15">
        <f>GF332+GH332</f>
        <v>65000</v>
      </c>
      <c r="GK332" s="15"/>
      <c r="GL332" s="15">
        <f>GI332+GK332</f>
        <v>65000</v>
      </c>
      <c r="GN332" s="15"/>
      <c r="GO332" s="15">
        <f>GL332+GN332</f>
        <v>65000</v>
      </c>
      <c r="GQ332" s="15"/>
      <c r="GR332" s="15">
        <f>GO332+GQ332</f>
        <v>65000</v>
      </c>
      <c r="GT332" s="227">
        <v>8000</v>
      </c>
      <c r="GU332" s="15">
        <f>GR332+GT332</f>
        <v>73000</v>
      </c>
      <c r="GW332" s="15"/>
      <c r="GX332" s="15">
        <f>GU332+GW332</f>
        <v>73000</v>
      </c>
      <c r="GZ332" s="15"/>
      <c r="HA332" s="189">
        <f>GX332+GZ332</f>
        <v>73000</v>
      </c>
      <c r="HC332" s="189">
        <v>72438</v>
      </c>
      <c r="HE332" s="15">
        <v>75000</v>
      </c>
    </row>
    <row r="333" spans="1:214" hidden="1" outlineLevel="2">
      <c r="A333" s="1" t="s">
        <v>246</v>
      </c>
      <c r="B333" s="1" t="s">
        <v>249</v>
      </c>
      <c r="C333" s="4" t="s">
        <v>250</v>
      </c>
      <c r="D333" s="43">
        <v>0</v>
      </c>
      <c r="E333" s="34">
        <v>0</v>
      </c>
      <c r="F333" s="43">
        <v>38380</v>
      </c>
      <c r="G333" s="34">
        <v>100</v>
      </c>
      <c r="H333" s="46">
        <v>38380</v>
      </c>
      <c r="I333" s="15">
        <v>38380</v>
      </c>
      <c r="K333" t="s">
        <v>332</v>
      </c>
      <c r="L333" s="118">
        <v>40000</v>
      </c>
      <c r="M333" s="17">
        <f>L333/F333-1</f>
        <v>4.2209484106305428E-2</v>
      </c>
      <c r="N333" s="17">
        <f>L333/I333-1</f>
        <v>4.2209484106305428E-2</v>
      </c>
      <c r="Q333" s="118">
        <v>0</v>
      </c>
      <c r="R333" s="15">
        <v>0</v>
      </c>
      <c r="S333" s="118">
        <v>0</v>
      </c>
      <c r="T333" s="15">
        <f>S333-Q333</f>
        <v>0</v>
      </c>
      <c r="U333" s="16" t="e">
        <f>S333/Q333-1</f>
        <v>#DIV/0!</v>
      </c>
      <c r="Y333" s="118">
        <v>0</v>
      </c>
      <c r="AE333" s="118">
        <v>38600</v>
      </c>
      <c r="AF333" s="182">
        <f>AE333-AA333</f>
        <v>38600</v>
      </c>
      <c r="AH333" s="15">
        <v>38570</v>
      </c>
      <c r="AI333" s="17">
        <f t="shared" si="1590"/>
        <v>0.99922279792746116</v>
      </c>
      <c r="AX333" s="15"/>
      <c r="BD333" s="15"/>
      <c r="BG333" s="15"/>
      <c r="DE333" s="15"/>
      <c r="DH333" s="15"/>
      <c r="DK333" s="15"/>
      <c r="DN333" s="15"/>
      <c r="DQ333" s="15"/>
      <c r="DT333" s="15"/>
      <c r="DW333" s="15"/>
      <c r="DZ333" s="15"/>
      <c r="EC333" s="15"/>
      <c r="EF333" s="15"/>
      <c r="EK333" s="15"/>
      <c r="EM333" s="227">
        <v>63080</v>
      </c>
      <c r="EN333" s="15">
        <f t="shared" si="1616"/>
        <v>63080</v>
      </c>
      <c r="EP333" s="15"/>
      <c r="EQ333" s="15">
        <f t="shared" si="1617"/>
        <v>63080</v>
      </c>
      <c r="ES333" s="15"/>
      <c r="ET333" s="15">
        <f t="shared" si="1618"/>
        <v>63080</v>
      </c>
      <c r="EW333" s="15">
        <f t="shared" si="1619"/>
        <v>63080</v>
      </c>
      <c r="EZ333" s="15">
        <f t="shared" si="1620"/>
        <v>63080</v>
      </c>
      <c r="FC333" s="15">
        <f t="shared" si="1621"/>
        <v>63080</v>
      </c>
      <c r="FF333" s="15">
        <f t="shared" si="1622"/>
        <v>63080</v>
      </c>
      <c r="FI333" s="15">
        <f t="shared" si="1623"/>
        <v>63080</v>
      </c>
      <c r="FL333" s="15">
        <f t="shared" si="1624"/>
        <v>63080</v>
      </c>
      <c r="FO333" s="15">
        <f t="shared" si="1625"/>
        <v>63080</v>
      </c>
      <c r="FR333" s="15">
        <v>63080</v>
      </c>
      <c r="FT333" s="15">
        <v>63080</v>
      </c>
      <c r="FV333" s="15">
        <f>Rozpis_Příjmy!EK9</f>
        <v>64000</v>
      </c>
      <c r="FW333" s="235">
        <f t="shared" ref="FW333" si="1626">FV333/FT333</f>
        <v>1.014584654407102</v>
      </c>
      <c r="FZ333" s="15">
        <f>FV333+FY333</f>
        <v>64000</v>
      </c>
      <c r="GB333" s="15"/>
      <c r="GC333" s="15">
        <f>FZ333+GB333</f>
        <v>64000</v>
      </c>
      <c r="GE333" s="15"/>
      <c r="GF333" s="15">
        <f>GC333+GE333</f>
        <v>64000</v>
      </c>
      <c r="GH333" s="15"/>
      <c r="GI333" s="15">
        <f>GF333+GH333</f>
        <v>64000</v>
      </c>
      <c r="GK333" s="15"/>
      <c r="GL333" s="15">
        <f>GI333+GK333</f>
        <v>64000</v>
      </c>
      <c r="GN333" s="15"/>
      <c r="GO333" s="15">
        <f>GL333+GN333</f>
        <v>64000</v>
      </c>
      <c r="GQ333" s="15"/>
      <c r="GR333" s="15">
        <f>GO333+GQ333</f>
        <v>64000</v>
      </c>
      <c r="GT333" s="15"/>
      <c r="GU333" s="15">
        <f>GR333+GT333</f>
        <v>64000</v>
      </c>
      <c r="GW333" s="15"/>
      <c r="GX333" s="15">
        <f>GU333+GW333</f>
        <v>64000</v>
      </c>
      <c r="GZ333" s="15"/>
      <c r="HA333" s="189">
        <f>GX333+GZ333</f>
        <v>64000</v>
      </c>
      <c r="HC333" s="189">
        <v>54600</v>
      </c>
      <c r="HE333" s="15">
        <v>64000</v>
      </c>
      <c r="HF333" s="235">
        <f>HE333/HC333</f>
        <v>1.1721611721611722</v>
      </c>
    </row>
    <row r="334" spans="1:214" hidden="1" outlineLevel="2">
      <c r="A334" s="1" t="s">
        <v>246</v>
      </c>
      <c r="B334" s="4" t="s">
        <v>46</v>
      </c>
      <c r="C334" s="4" t="s">
        <v>251</v>
      </c>
      <c r="D334" s="43">
        <v>75000</v>
      </c>
      <c r="E334" s="34">
        <v>68.62</v>
      </c>
      <c r="F334" s="43">
        <v>113380</v>
      </c>
      <c r="G334" s="34">
        <v>45.39</v>
      </c>
      <c r="H334" s="46">
        <v>51464</v>
      </c>
      <c r="Y334" s="118"/>
      <c r="AF334" s="182"/>
      <c r="AH334" s="15"/>
      <c r="AX334" s="15"/>
      <c r="BD334" s="15"/>
      <c r="BG334" s="15"/>
      <c r="DE334" s="15"/>
      <c r="DH334" s="15"/>
      <c r="DK334" s="15"/>
      <c r="DN334" s="15"/>
      <c r="DQ334" s="15"/>
      <c r="DT334" s="15"/>
      <c r="DW334" s="15"/>
      <c r="DZ334" s="15"/>
      <c r="EC334" s="15"/>
      <c r="EF334" s="15"/>
      <c r="EK334" s="15"/>
      <c r="EM334" s="15"/>
      <c r="EP334" s="15"/>
      <c r="ES334" s="15"/>
      <c r="GB334" s="15"/>
      <c r="GE334" s="15"/>
      <c r="GH334" s="15"/>
      <c r="GK334" s="15"/>
      <c r="GN334" s="15"/>
      <c r="GQ334" s="15"/>
      <c r="GT334" s="15"/>
      <c r="GW334" s="15"/>
      <c r="GZ334" s="15"/>
    </row>
    <row r="335" spans="1:214" ht="14.25" hidden="1" customHeight="1" outlineLevel="2">
      <c r="A335" s="1" t="s">
        <v>252</v>
      </c>
      <c r="B335" s="4" t="s">
        <v>48</v>
      </c>
      <c r="C335" s="4" t="s">
        <v>251</v>
      </c>
      <c r="D335" s="43">
        <v>75000</v>
      </c>
      <c r="E335" s="34">
        <v>68.62</v>
      </c>
      <c r="F335" s="43">
        <v>113380</v>
      </c>
      <c r="G335" s="34">
        <v>45.39</v>
      </c>
      <c r="H335" s="46">
        <v>51464</v>
      </c>
      <c r="Y335" s="118"/>
      <c r="AF335" s="182"/>
      <c r="AH335" s="15"/>
      <c r="AX335" s="15"/>
      <c r="BD335" s="15"/>
      <c r="BG335" s="15"/>
      <c r="DE335" s="15"/>
      <c r="DH335" s="15"/>
      <c r="DK335" s="15"/>
      <c r="DN335" s="15"/>
      <c r="DQ335" s="15"/>
      <c r="DT335" s="15"/>
      <c r="DW335" s="15"/>
      <c r="DZ335" s="15"/>
      <c r="EC335" s="15"/>
      <c r="EF335" s="15"/>
      <c r="EK335" s="15"/>
      <c r="EM335" s="15"/>
      <c r="EP335" s="15"/>
      <c r="ES335" s="15"/>
      <c r="GB335" s="15"/>
      <c r="GE335" s="15"/>
      <c r="GH335" s="15"/>
      <c r="GK335" s="15"/>
      <c r="GN335" s="15"/>
      <c r="GQ335" s="15"/>
      <c r="GT335" s="15"/>
      <c r="GW335" s="15"/>
      <c r="GZ335" s="15"/>
    </row>
    <row r="336" spans="1:214" ht="15" customHeight="1" collapsed="1" thickTop="1" thickBot="1">
      <c r="A336" s="54" t="s">
        <v>252</v>
      </c>
      <c r="B336" s="55" t="s">
        <v>316</v>
      </c>
      <c r="C336" s="56" t="s">
        <v>356</v>
      </c>
      <c r="D336" s="57">
        <f>SUM(D332:D333)</f>
        <v>75000</v>
      </c>
      <c r="E336" s="58"/>
      <c r="F336" s="57">
        <f>SUM(F332:F333)</f>
        <v>113380</v>
      </c>
      <c r="G336" s="58"/>
      <c r="H336" s="57"/>
      <c r="I336" s="57">
        <f>SUM(I332:I333)</f>
        <v>51464</v>
      </c>
      <c r="J336" s="138" t="e">
        <f>I336/$I$350</f>
        <v>#REF!</v>
      </c>
      <c r="K336" s="60"/>
      <c r="L336" s="122">
        <f>SUM(L332:L333)</f>
        <v>60000</v>
      </c>
      <c r="M336" s="61">
        <f>L336/F336-1</f>
        <v>-0.47080613864879173</v>
      </c>
      <c r="N336" s="61">
        <f>L336/I336-1</f>
        <v>0.16586351624436491</v>
      </c>
      <c r="O336" s="17">
        <f>L336/$L$350</f>
        <v>1.3921113947491674E-2</v>
      </c>
      <c r="P336" s="17"/>
      <c r="Q336" s="122">
        <f>SUM(Q332:Q333)</f>
        <v>60000</v>
      </c>
      <c r="R336" s="122">
        <f>SUM(R332:R333)</f>
        <v>7570</v>
      </c>
      <c r="S336" s="122">
        <f>SUM(S332:S333)</f>
        <v>30000</v>
      </c>
      <c r="T336" s="122">
        <f>SUM(T332:T333)</f>
        <v>-30000</v>
      </c>
      <c r="U336" s="155">
        <f>S336/Q336-1</f>
        <v>-0.5</v>
      </c>
      <c r="Y336" s="122">
        <f>SUM(Y332:Y333)</f>
        <v>30000</v>
      </c>
      <c r="AA336" s="122">
        <f>SUM(AA332:AA333)</f>
        <v>20000</v>
      </c>
      <c r="AB336" s="122">
        <f>SUM(AB332:AB333)</f>
        <v>-10000</v>
      </c>
      <c r="AE336" s="122">
        <f>SUM(AE332:AE333)</f>
        <v>58600</v>
      </c>
      <c r="AF336" s="182"/>
      <c r="AH336" s="122">
        <f>SUM(AH332:AH333)</f>
        <v>52874</v>
      </c>
      <c r="AI336" s="17">
        <f t="shared" ref="AI336:AI337" si="1627">AH336/AE336</f>
        <v>0.90228668941979517</v>
      </c>
      <c r="AK336" s="122">
        <f>SUM(AK332:AK333)</f>
        <v>20000</v>
      </c>
      <c r="AL336" s="193">
        <f>AK336/L336</f>
        <v>0.33333333333333331</v>
      </c>
      <c r="AM336" s="17">
        <f>AK336/AE336</f>
        <v>0.34129692832764508</v>
      </c>
      <c r="AN336" s="17">
        <f>AK336/AH336</f>
        <v>0.37825774482732533</v>
      </c>
      <c r="AS336" s="122">
        <f>SUM(AS332:AS333)</f>
        <v>20000</v>
      </c>
      <c r="AU336" s="122">
        <f>SUM(AU332:AU333)</f>
        <v>0</v>
      </c>
      <c r="AV336" s="122">
        <f>SUM(AV332:AV333)</f>
        <v>20000</v>
      </c>
      <c r="AX336" s="122">
        <f>SUM(AX332:AX333)</f>
        <v>0</v>
      </c>
      <c r="AY336" s="122">
        <f>SUM(AY332:AY333)</f>
        <v>20000</v>
      </c>
      <c r="BA336" s="122">
        <f>SUM(BA332:BA333)</f>
        <v>0</v>
      </c>
      <c r="BB336" s="122">
        <f>SUM(BB332:BB333)</f>
        <v>20000</v>
      </c>
      <c r="BD336" s="122">
        <f>SUM(BD332:BD333)</f>
        <v>7000</v>
      </c>
      <c r="BE336" s="122">
        <f>SUM(BE332:BE333)</f>
        <v>27000</v>
      </c>
      <c r="BG336" s="122">
        <f>SUM(BG332:BG333)</f>
        <v>0</v>
      </c>
      <c r="BH336" s="122">
        <f>SUM(BH332:BH333)</f>
        <v>27000</v>
      </c>
      <c r="BJ336" s="122">
        <f>SUM(BJ332:BJ333)</f>
        <v>22751</v>
      </c>
      <c r="BK336" s="236">
        <f t="shared" ref="BK336" si="1628">BJ336/BH336</f>
        <v>0.84262962962962962</v>
      </c>
      <c r="BM336" s="122">
        <f>SUM(BM332:BM333)</f>
        <v>23000</v>
      </c>
      <c r="BN336" s="236">
        <f t="shared" ref="BN336" si="1629">BM336/BJ336</f>
        <v>1.010944573864885</v>
      </c>
      <c r="BO336" s="236">
        <f t="shared" ref="BO336" si="1630">BM336/BH336</f>
        <v>0.85185185185185186</v>
      </c>
      <c r="BQ336" s="122">
        <f>SUM(BQ332:BQ333)</f>
        <v>-50</v>
      </c>
      <c r="BR336" s="122">
        <f>SUM(BR332:BR333)</f>
        <v>22950</v>
      </c>
      <c r="BT336" s="122">
        <f>SUM(BT332:BT333)</f>
        <v>0</v>
      </c>
      <c r="BU336" s="122">
        <f>SUM(BU332:BU333)</f>
        <v>22950</v>
      </c>
      <c r="BW336" s="122">
        <f>SUM(BW332:BW333)</f>
        <v>0</v>
      </c>
      <c r="BX336" s="122">
        <f>SUM(BX332:BX333)</f>
        <v>22950</v>
      </c>
      <c r="BZ336" s="122">
        <f>SUM(BZ332:BZ333)</f>
        <v>0</v>
      </c>
      <c r="CA336" s="122">
        <f>SUM(CA332:CA333)</f>
        <v>22950</v>
      </c>
      <c r="CC336" s="122">
        <f>SUM(CC332:CC333)</f>
        <v>0</v>
      </c>
      <c r="CD336" s="122">
        <f>SUM(CD332:CD333)</f>
        <v>22950</v>
      </c>
      <c r="CF336" s="122">
        <f>SUM(CF332:CF333)</f>
        <v>0</v>
      </c>
      <c r="CG336" s="122">
        <f>SUM(CG332:CG333)</f>
        <v>22950</v>
      </c>
      <c r="CI336" s="122">
        <f>SUM(CI332:CI333)</f>
        <v>0</v>
      </c>
      <c r="CJ336" s="122">
        <f>SUM(CJ332:CJ333)</f>
        <v>22950</v>
      </c>
      <c r="CL336" s="319">
        <f>SUM(CL332:CL333)</f>
        <v>0</v>
      </c>
      <c r="CM336" s="122">
        <f>SUM(CM332:CM333)</f>
        <v>22950</v>
      </c>
      <c r="CO336" s="122">
        <f>SUM(CO332:CO333)</f>
        <v>0</v>
      </c>
      <c r="CP336" s="122">
        <f>SUM(CP332:CP333)</f>
        <v>22950</v>
      </c>
      <c r="CR336" s="122">
        <f>SUM(CR332:CR333)</f>
        <v>0</v>
      </c>
      <c r="CS336" s="122">
        <f>SUM(CS332:CS333)</f>
        <v>22950</v>
      </c>
      <c r="CU336" s="122">
        <f>SUM(CU332:CU333)</f>
        <v>0</v>
      </c>
      <c r="CV336" s="122">
        <f>SUM(CV332:CV333)</f>
        <v>22950</v>
      </c>
      <c r="CX336" s="122">
        <f>SUM(CX332:CX333)</f>
        <v>0</v>
      </c>
      <c r="CY336" s="122">
        <f>SUM(CY332:CY333)</f>
        <v>22950</v>
      </c>
      <c r="DA336" s="122">
        <f>SUM(DA332:DA333)</f>
        <v>20265</v>
      </c>
      <c r="DC336" s="122">
        <f>SUM(DC332:DC333)</f>
        <v>20000</v>
      </c>
      <c r="DE336" s="122">
        <f>SUM(DE332:DE333)</f>
        <v>0</v>
      </c>
      <c r="DF336" s="122">
        <f>SUM(DF332:DF333)</f>
        <v>20000</v>
      </c>
      <c r="DH336" s="122">
        <f>SUM(DH332:DH333)</f>
        <v>0</v>
      </c>
      <c r="DI336" s="122">
        <f>SUM(DI332:DI333)</f>
        <v>20000</v>
      </c>
      <c r="DK336" s="122">
        <f>SUM(DK332:DK333)</f>
        <v>0</v>
      </c>
      <c r="DL336" s="122">
        <f>SUM(DL332:DL333)</f>
        <v>20000</v>
      </c>
      <c r="DN336" s="122">
        <f>SUM(DN332:DN333)</f>
        <v>0</v>
      </c>
      <c r="DO336" s="122">
        <f>SUM(DO332:DO333)</f>
        <v>20000</v>
      </c>
      <c r="DQ336" s="122">
        <f>SUM(DQ332:DQ333)</f>
        <v>0</v>
      </c>
      <c r="DR336" s="122">
        <f>SUM(DR332:DR333)</f>
        <v>20000</v>
      </c>
      <c r="DT336" s="122">
        <f>SUM(DT332:DT333)</f>
        <v>4100</v>
      </c>
      <c r="DU336" s="122">
        <f>SUM(DU332:DU333)</f>
        <v>24100</v>
      </c>
      <c r="DW336" s="122">
        <f>SUM(DW332:DW333)</f>
        <v>0</v>
      </c>
      <c r="DX336" s="122">
        <f>SUM(DX332:DX333)</f>
        <v>24100</v>
      </c>
      <c r="DZ336" s="122">
        <f>SUM(DZ332:DZ333)</f>
        <v>0</v>
      </c>
      <c r="EA336" s="122">
        <f>SUM(EA332:EA333)</f>
        <v>24100</v>
      </c>
      <c r="EC336" s="122">
        <f>SUM(EC332:EC333)</f>
        <v>0</v>
      </c>
      <c r="ED336" s="122">
        <f>SUM(ED332:ED333)</f>
        <v>24100</v>
      </c>
      <c r="EF336" s="122">
        <f>SUM(EF332:EF333)</f>
        <v>0</v>
      </c>
      <c r="EG336" s="122">
        <f>SUM(EG332:EG333)</f>
        <v>24100</v>
      </c>
      <c r="EI336" s="122">
        <f>SUM(EI332:EI333)</f>
        <v>4025</v>
      </c>
      <c r="EK336" s="122">
        <f>SUM(EK332:EK333)</f>
        <v>10000</v>
      </c>
      <c r="EM336" s="122">
        <f>SUM(EM332:EM333)</f>
        <v>63080</v>
      </c>
      <c r="EN336" s="122">
        <f>SUM(EN332:EN333)</f>
        <v>73080</v>
      </c>
      <c r="EP336" s="122">
        <f>SUM(EP332:EP333)</f>
        <v>700</v>
      </c>
      <c r="EQ336" s="122">
        <f>SUM(EQ332:EQ333)</f>
        <v>73780</v>
      </c>
      <c r="ES336" s="122">
        <f>SUM(ES332:ES333)</f>
        <v>800</v>
      </c>
      <c r="ET336" s="122">
        <f>SUM(ET332:ET333)</f>
        <v>74580</v>
      </c>
      <c r="EV336" s="122">
        <f>SUM(EV332:EV333)</f>
        <v>0</v>
      </c>
      <c r="EW336" s="122">
        <f>SUM(EW332:EW333)</f>
        <v>74580</v>
      </c>
      <c r="EY336" s="122">
        <f>SUM(EY332:EY333)</f>
        <v>0</v>
      </c>
      <c r="EZ336" s="122">
        <f>SUM(EZ332:EZ333)</f>
        <v>74580</v>
      </c>
      <c r="FB336" s="122">
        <f>SUM(FB332:FB333)</f>
        <v>19000</v>
      </c>
      <c r="FC336" s="122">
        <f>SUM(FC332:FC333)</f>
        <v>93580</v>
      </c>
      <c r="FE336" s="122">
        <f>SUM(FE332:FE333)</f>
        <v>0</v>
      </c>
      <c r="FF336" s="122">
        <f>SUM(FF332:FF333)</f>
        <v>93580</v>
      </c>
      <c r="FH336" s="122">
        <f>SUM(FH332:FH333)</f>
        <v>0</v>
      </c>
      <c r="FI336" s="122">
        <f>SUM(FI332:FI333)</f>
        <v>93580</v>
      </c>
      <c r="FK336" s="122">
        <f>SUM(FK332:FK333)</f>
        <v>-676</v>
      </c>
      <c r="FL336" s="122">
        <f>SUM(FL332:FL333)</f>
        <v>92904</v>
      </c>
      <c r="FN336" s="122">
        <f>SUM(FN332:FN333)</f>
        <v>0</v>
      </c>
      <c r="FO336" s="122">
        <f>SUM(FO332:FO333)</f>
        <v>92904</v>
      </c>
      <c r="FQ336" s="122">
        <v>0</v>
      </c>
      <c r="FR336" s="122">
        <v>92904</v>
      </c>
      <c r="FT336" s="122">
        <f>SUM(FT332:FT333)</f>
        <v>92904</v>
      </c>
      <c r="FV336" s="122">
        <f>SUM(FV332:FV333)</f>
        <v>94000</v>
      </c>
      <c r="FW336" s="235">
        <f t="shared" ref="FW336:FW344" si="1631">FV336/FT336</f>
        <v>1.0117971239128563</v>
      </c>
      <c r="FY336" s="122">
        <f>SUM(FY332:FY333)</f>
        <v>15000</v>
      </c>
      <c r="FZ336" s="122">
        <f>SUM(FZ332:FZ333)</f>
        <v>109000</v>
      </c>
      <c r="GB336" s="122">
        <f>SUM(GB332:GB333)</f>
        <v>0</v>
      </c>
      <c r="GC336" s="122">
        <f>SUM(GC332:GC333)</f>
        <v>109000</v>
      </c>
      <c r="GE336" s="122">
        <f>SUM(GE332:GE333)</f>
        <v>20000</v>
      </c>
      <c r="GF336" s="122">
        <f>SUM(GF332:GF333)</f>
        <v>129000</v>
      </c>
      <c r="GH336" s="122">
        <f>SUM(GH332:GH333)</f>
        <v>0</v>
      </c>
      <c r="GI336" s="122">
        <f>SUM(GI332:GI333)</f>
        <v>129000</v>
      </c>
      <c r="GK336" s="122">
        <f>SUM(GK332:GK333)</f>
        <v>0</v>
      </c>
      <c r="GL336" s="122">
        <f>SUM(GL332:GL333)</f>
        <v>129000</v>
      </c>
      <c r="GN336" s="122">
        <f>SUM(GN332:GN333)</f>
        <v>0</v>
      </c>
      <c r="GO336" s="122">
        <f>SUM(GO332:GO333)</f>
        <v>129000</v>
      </c>
      <c r="GQ336" s="122">
        <f>SUM(GQ332:GQ333)</f>
        <v>0</v>
      </c>
      <c r="GR336" s="122">
        <f>SUM(GR332:GR333)</f>
        <v>129000</v>
      </c>
      <c r="GT336" s="122">
        <f>SUM(GT332:GT333)</f>
        <v>8000</v>
      </c>
      <c r="GU336" s="122">
        <f>SUM(GU332:GU333)</f>
        <v>137000</v>
      </c>
      <c r="GW336" s="122">
        <f>SUM(GW332:GW333)</f>
        <v>0</v>
      </c>
      <c r="GX336" s="122">
        <f>SUM(GX332:GX333)</f>
        <v>137000</v>
      </c>
      <c r="GZ336" s="122">
        <f>SUM(GZ332:GZ333)</f>
        <v>0</v>
      </c>
      <c r="HA336" s="430">
        <f>SUM(HA332:HA333)</f>
        <v>137000</v>
      </c>
      <c r="HC336" s="122">
        <f>SUM(HC332:HC333)</f>
        <v>127038</v>
      </c>
      <c r="HE336" s="122">
        <f>SUM(HE332:HE333)</f>
        <v>139000</v>
      </c>
      <c r="HF336" s="235">
        <f t="shared" ref="HF336:HF344" si="1632">HE336/HC336</f>
        <v>1.094160802279633</v>
      </c>
    </row>
    <row r="337" spans="1:214" ht="15.75" outlineLevel="2" thickTop="1">
      <c r="A337" s="1" t="s">
        <v>253</v>
      </c>
      <c r="B337" s="1" t="s">
        <v>254</v>
      </c>
      <c r="C337" s="4" t="s">
        <v>255</v>
      </c>
      <c r="D337" s="43">
        <v>0</v>
      </c>
      <c r="E337" s="34">
        <v>0</v>
      </c>
      <c r="F337" s="43">
        <v>30126</v>
      </c>
      <c r="G337" s="34">
        <v>100</v>
      </c>
      <c r="H337" s="46">
        <v>30126</v>
      </c>
      <c r="I337" s="15">
        <v>30126</v>
      </c>
      <c r="L337" s="118">
        <v>0</v>
      </c>
      <c r="M337" s="17">
        <f>L337/F337-1</f>
        <v>-1</v>
      </c>
      <c r="N337" s="17">
        <f>L337/I337-1</f>
        <v>-1</v>
      </c>
      <c r="Q337" s="118">
        <v>15800</v>
      </c>
      <c r="R337" s="15">
        <v>15717</v>
      </c>
      <c r="S337" s="118">
        <v>15800</v>
      </c>
      <c r="T337" s="15">
        <f>S337-Q337</f>
        <v>0</v>
      </c>
      <c r="U337" s="16">
        <f>S337/Q337-1</f>
        <v>0</v>
      </c>
      <c r="V337" s="140">
        <v>15800</v>
      </c>
      <c r="W337" s="15">
        <f>V337-L347</f>
        <v>5600</v>
      </c>
      <c r="Y337" s="118">
        <v>15800</v>
      </c>
      <c r="AA337" s="118">
        <v>15800</v>
      </c>
      <c r="AB337" s="185">
        <f t="shared" ref="AB337" si="1633">AA337-Y337</f>
        <v>0</v>
      </c>
      <c r="AC337" s="187">
        <f t="shared" ref="AC337" si="1634">AA337-Y337</f>
        <v>0</v>
      </c>
      <c r="AD337" s="187"/>
      <c r="AE337" s="118">
        <v>15800</v>
      </c>
      <c r="AF337" s="182"/>
      <c r="AH337" s="15">
        <v>15717</v>
      </c>
      <c r="AI337" s="17">
        <f t="shared" si="1627"/>
        <v>0.99474683544303799</v>
      </c>
      <c r="AK337" s="118">
        <v>11000</v>
      </c>
      <c r="AP337" s="220">
        <v>11000</v>
      </c>
      <c r="AS337" s="15">
        <f>AR337+AK337</f>
        <v>11000</v>
      </c>
      <c r="AV337" s="15">
        <f t="shared" ref="AV337" si="1635">AS337+AU337</f>
        <v>11000</v>
      </c>
      <c r="AX337" s="15"/>
      <c r="AY337" s="15">
        <f t="shared" ref="AY337" si="1636">AV337+AX337</f>
        <v>11000</v>
      </c>
      <c r="BB337" s="15">
        <f t="shared" ref="BB337" si="1637">AY337+BA337</f>
        <v>11000</v>
      </c>
      <c r="BD337" s="15"/>
      <c r="BE337" s="15">
        <f t="shared" ref="BE337" si="1638">BB337+BD337</f>
        <v>11000</v>
      </c>
      <c r="BG337" s="15"/>
      <c r="BH337" s="15">
        <f t="shared" ref="BH337" si="1639">BE337+BG337</f>
        <v>11000</v>
      </c>
      <c r="BJ337" s="15">
        <v>10534</v>
      </c>
      <c r="BK337" s="235">
        <f t="shared" ref="BK337" si="1640">BJ337/BH337</f>
        <v>0.95763636363636362</v>
      </c>
      <c r="BM337" s="15">
        <v>14500</v>
      </c>
      <c r="BN337" s="235">
        <f t="shared" ref="BN337:BN344" si="1641">BM337/BJ337</f>
        <v>1.37649515853427</v>
      </c>
      <c r="BO337" s="235">
        <f t="shared" ref="BO337:BO344" si="1642">BM337/BH337</f>
        <v>1.3181818181818181</v>
      </c>
      <c r="BQ337" s="15"/>
      <c r="BR337" s="15">
        <f t="shared" ref="BR337" si="1643">BM337+BQ337</f>
        <v>14500</v>
      </c>
      <c r="BT337" s="15"/>
      <c r="BU337" s="15">
        <f>BR337+BT337</f>
        <v>14500</v>
      </c>
      <c r="BW337" s="15"/>
      <c r="BX337" s="15">
        <f>BU337+BW337</f>
        <v>14500</v>
      </c>
      <c r="BZ337" s="15"/>
      <c r="CA337" s="15">
        <f>BX337+BZ337</f>
        <v>14500</v>
      </c>
      <c r="CC337" s="15"/>
      <c r="CD337" s="15">
        <f>CA337+CC337</f>
        <v>14500</v>
      </c>
      <c r="CF337" s="15"/>
      <c r="CG337" s="15">
        <f>CD337+CF337</f>
        <v>14500</v>
      </c>
      <c r="CI337" s="15"/>
      <c r="CJ337" s="15">
        <f>CG337+CI337</f>
        <v>14500</v>
      </c>
      <c r="CM337" s="15">
        <f>CJ337+CL337</f>
        <v>14500</v>
      </c>
      <c r="CP337" s="15">
        <f>CM337+CO337</f>
        <v>14500</v>
      </c>
      <c r="CS337" s="15">
        <f>CP337+CR337</f>
        <v>14500</v>
      </c>
      <c r="CV337" s="15">
        <f>CS337+CU337</f>
        <v>14500</v>
      </c>
      <c r="CY337" s="15">
        <f>CV337+CX337</f>
        <v>14500</v>
      </c>
      <c r="DA337" s="15">
        <v>14424</v>
      </c>
      <c r="DC337" s="15">
        <v>30000</v>
      </c>
      <c r="DE337" s="227">
        <v>200</v>
      </c>
      <c r="DF337" s="15">
        <f t="shared" ref="DF337" si="1644">DC337+DE337</f>
        <v>30200</v>
      </c>
      <c r="DH337" s="15"/>
      <c r="DI337" s="15">
        <f t="shared" ref="DI337" si="1645">DF337+DH337</f>
        <v>30200</v>
      </c>
      <c r="DK337" s="15"/>
      <c r="DL337" s="15">
        <f t="shared" ref="DL337" si="1646">DI337+DK337</f>
        <v>30200</v>
      </c>
      <c r="DN337" s="15"/>
      <c r="DO337" s="15">
        <f t="shared" ref="DO337" si="1647">DL337+DN337</f>
        <v>30200</v>
      </c>
      <c r="DQ337" s="15"/>
      <c r="DR337" s="15">
        <f t="shared" ref="DR337" si="1648">DO337+DQ337</f>
        <v>30200</v>
      </c>
      <c r="DT337" s="15"/>
      <c r="DU337" s="15">
        <f t="shared" ref="DU337" si="1649">DR337+DT337</f>
        <v>30200</v>
      </c>
      <c r="DW337" s="15"/>
      <c r="DX337" s="15">
        <f t="shared" ref="DX337" si="1650">DU337+DW337</f>
        <v>30200</v>
      </c>
      <c r="DZ337" s="227">
        <v>480</v>
      </c>
      <c r="EA337" s="15">
        <f t="shared" ref="EA337" si="1651">DX337+DZ337</f>
        <v>30680</v>
      </c>
      <c r="EC337" s="15"/>
      <c r="ED337" s="15">
        <f t="shared" ref="ED337" si="1652">EA337+EC337</f>
        <v>30680</v>
      </c>
      <c r="EF337" s="227">
        <f>30138-30680</f>
        <v>-542</v>
      </c>
      <c r="EG337" s="15">
        <f t="shared" ref="EG337" si="1653">ED337+EF337</f>
        <v>30138</v>
      </c>
      <c r="EI337" s="15">
        <v>30138</v>
      </c>
      <c r="EK337" s="15">
        <v>21242</v>
      </c>
      <c r="EM337" s="15"/>
      <c r="EN337" s="15">
        <f t="shared" ref="EN337" si="1654">EK337+EM337</f>
        <v>21242</v>
      </c>
      <c r="EP337" s="15"/>
      <c r="EQ337" s="15">
        <f t="shared" ref="EQ337" si="1655">EN337+EP337</f>
        <v>21242</v>
      </c>
      <c r="ES337" s="15"/>
      <c r="ET337" s="15">
        <f t="shared" ref="ET337" si="1656">EQ337+ES337</f>
        <v>21242</v>
      </c>
      <c r="EW337" s="15">
        <f t="shared" ref="EW337" si="1657">ET337+EV337</f>
        <v>21242</v>
      </c>
      <c r="EZ337" s="15">
        <f t="shared" ref="EZ337" si="1658">EW337+EY337</f>
        <v>21242</v>
      </c>
      <c r="FC337" s="15">
        <f t="shared" ref="FC337" si="1659">EZ337+FB337</f>
        <v>21242</v>
      </c>
      <c r="FF337" s="15">
        <f t="shared" ref="FF337" si="1660">FC337+FE337</f>
        <v>21242</v>
      </c>
      <c r="FI337" s="15">
        <f t="shared" ref="FI337" si="1661">FF337+FH337</f>
        <v>21242</v>
      </c>
      <c r="FL337" s="15">
        <f t="shared" ref="FL337" si="1662">FI337+FK337</f>
        <v>21242</v>
      </c>
      <c r="FO337" s="15">
        <f t="shared" ref="FO337" si="1663">FL337+FN337</f>
        <v>21242</v>
      </c>
      <c r="FR337" s="15">
        <v>21242</v>
      </c>
      <c r="FT337" s="15">
        <v>21242</v>
      </c>
      <c r="FV337" s="15">
        <f>12116+19349</f>
        <v>31465</v>
      </c>
      <c r="FW337" s="235">
        <f t="shared" si="1631"/>
        <v>1.4812635345071086</v>
      </c>
      <c r="FY337" s="227">
        <v>17070</v>
      </c>
      <c r="FZ337" s="15">
        <f>FV337+FY337</f>
        <v>48535</v>
      </c>
      <c r="GB337" s="15"/>
      <c r="GC337" s="15">
        <f>FZ337+GB337</f>
        <v>48535</v>
      </c>
      <c r="GE337" s="15"/>
      <c r="GF337" s="15">
        <f>GC337+GE337</f>
        <v>48535</v>
      </c>
      <c r="GH337" s="15"/>
      <c r="GI337" s="15">
        <f>GF337+GH337</f>
        <v>48535</v>
      </c>
      <c r="GK337" s="15"/>
      <c r="GL337" s="15">
        <f>GI337+GK337</f>
        <v>48535</v>
      </c>
      <c r="GN337" s="15"/>
      <c r="GO337" s="15">
        <f>GL337+GN337</f>
        <v>48535</v>
      </c>
      <c r="GQ337" s="15"/>
      <c r="GR337" s="15">
        <f>GO337+GQ337</f>
        <v>48535</v>
      </c>
      <c r="GT337" s="15">
        <v>-0.4</v>
      </c>
      <c r="GU337" s="15">
        <f>GR337+GT337</f>
        <v>48534.6</v>
      </c>
      <c r="GW337" s="15"/>
      <c r="GX337" s="189">
        <f>GU337+GW337</f>
        <v>48534.6</v>
      </c>
      <c r="GZ337" s="15"/>
      <c r="HA337" s="189">
        <f>GX337+GZ337</f>
        <v>48534.6</v>
      </c>
      <c r="HC337" s="189">
        <v>48534.6</v>
      </c>
      <c r="HE337" s="449">
        <v>17136.2</v>
      </c>
      <c r="HF337" s="235">
        <f t="shared" si="1632"/>
        <v>0.35307182916929369</v>
      </c>
    </row>
    <row r="338" spans="1:214" outlineLevel="2">
      <c r="A338" s="1" t="s">
        <v>253</v>
      </c>
      <c r="B338" s="4" t="s">
        <v>46</v>
      </c>
      <c r="C338" s="4" t="s">
        <v>256</v>
      </c>
      <c r="D338" s="43">
        <v>0</v>
      </c>
      <c r="E338" s="34">
        <v>0</v>
      </c>
      <c r="F338" s="43">
        <v>30126</v>
      </c>
      <c r="G338" s="34">
        <v>100</v>
      </c>
      <c r="H338" s="46">
        <v>30126</v>
      </c>
      <c r="Y338" s="118"/>
      <c r="AF338" s="182"/>
      <c r="AH338" s="15"/>
      <c r="AX338" s="15"/>
      <c r="BD338" s="15"/>
      <c r="BG338" s="15"/>
      <c r="BN338" s="235" t="e">
        <f t="shared" si="1641"/>
        <v>#DIV/0!</v>
      </c>
      <c r="BO338" s="235" t="e">
        <f t="shared" si="1642"/>
        <v>#DIV/0!</v>
      </c>
      <c r="DE338" s="15"/>
      <c r="DH338" s="15"/>
      <c r="DK338" s="15"/>
      <c r="DN338" s="15"/>
      <c r="DQ338" s="15"/>
      <c r="DT338" s="15"/>
      <c r="DW338" s="15"/>
      <c r="DZ338" s="15"/>
      <c r="EC338" s="15"/>
      <c r="EF338" s="15"/>
      <c r="EK338" s="15"/>
      <c r="EL338" t="s">
        <v>457</v>
      </c>
      <c r="EM338" s="15"/>
      <c r="EP338" s="15"/>
      <c r="ES338" s="15"/>
      <c r="FW338" s="235" t="e">
        <f t="shared" si="1631"/>
        <v>#DIV/0!</v>
      </c>
      <c r="GB338" s="15"/>
      <c r="GE338" s="15"/>
      <c r="GH338" s="15"/>
      <c r="GK338" s="15"/>
      <c r="GN338" s="15"/>
      <c r="GQ338" s="15"/>
      <c r="GT338" s="15"/>
      <c r="GW338" s="15"/>
      <c r="GZ338" s="15"/>
      <c r="HF338" s="235" t="e">
        <f t="shared" si="1632"/>
        <v>#DIV/0!</v>
      </c>
    </row>
    <row r="339" spans="1:214" outlineLevel="2">
      <c r="A339" s="1" t="s">
        <v>253</v>
      </c>
      <c r="B339" s="1" t="s">
        <v>422</v>
      </c>
      <c r="C339" s="4" t="s">
        <v>423</v>
      </c>
      <c r="D339" s="43"/>
      <c r="E339" s="34"/>
      <c r="F339" s="43"/>
      <c r="G339" s="34"/>
      <c r="H339" s="46"/>
      <c r="Y339" s="118"/>
      <c r="AF339" s="182"/>
      <c r="AH339" s="15"/>
      <c r="AX339" s="15"/>
      <c r="BD339" s="15"/>
      <c r="BG339" s="15"/>
      <c r="BN339" s="235"/>
      <c r="BO339" s="235"/>
      <c r="CF339">
        <v>10</v>
      </c>
      <c r="CG339" s="15">
        <f>CD339+CF339</f>
        <v>10</v>
      </c>
      <c r="CJ339" s="15">
        <f>CG339+CI339</f>
        <v>10</v>
      </c>
      <c r="CM339" s="15">
        <f>CJ339+CL339</f>
        <v>10</v>
      </c>
      <c r="CP339" s="15">
        <f>CM339+CO339</f>
        <v>10</v>
      </c>
      <c r="CS339" s="15">
        <f>CP339+CR339</f>
        <v>10</v>
      </c>
      <c r="CV339" s="15">
        <f>CS339+CU339</f>
        <v>10</v>
      </c>
      <c r="CY339" s="15">
        <f>CV339+CX339</f>
        <v>10</v>
      </c>
      <c r="DA339" s="15">
        <v>6</v>
      </c>
      <c r="DE339" s="15"/>
      <c r="DH339" s="15"/>
      <c r="DK339" s="15"/>
      <c r="DN339" s="15"/>
      <c r="DQ339" s="15"/>
      <c r="DT339" s="15"/>
      <c r="DW339" s="15"/>
      <c r="DZ339" s="15"/>
      <c r="EC339" s="15"/>
      <c r="EF339" s="15"/>
      <c r="EK339" s="15"/>
      <c r="EM339" s="15"/>
      <c r="EP339" s="15"/>
      <c r="ES339" s="15"/>
      <c r="FW339" s="235" t="e">
        <f t="shared" si="1631"/>
        <v>#DIV/0!</v>
      </c>
      <c r="GB339" s="15"/>
      <c r="GE339" s="15"/>
      <c r="GH339" s="15"/>
      <c r="GK339" s="15"/>
      <c r="GN339" s="15"/>
      <c r="GQ339" s="15"/>
      <c r="GT339" s="15"/>
      <c r="GW339" s="15"/>
      <c r="GZ339" s="15"/>
      <c r="HF339" s="235" t="e">
        <f t="shared" si="1632"/>
        <v>#DIV/0!</v>
      </c>
    </row>
    <row r="340" spans="1:214" outlineLevel="2">
      <c r="A340" s="1" t="s">
        <v>99</v>
      </c>
      <c r="B340" s="1" t="s">
        <v>115</v>
      </c>
      <c r="C340" s="4" t="s">
        <v>116</v>
      </c>
      <c r="D340" s="43"/>
      <c r="E340" s="34"/>
      <c r="F340" s="43"/>
      <c r="G340" s="34"/>
      <c r="H340" s="46"/>
      <c r="Y340" s="118"/>
      <c r="AF340" s="182"/>
      <c r="AH340" s="15"/>
      <c r="AX340" s="15"/>
      <c r="BD340" s="15"/>
      <c r="BG340" s="15"/>
      <c r="BN340" s="235"/>
      <c r="BO340" s="235"/>
      <c r="BQ340">
        <v>5000</v>
      </c>
      <c r="BR340" s="15">
        <f t="shared" ref="BR340:BR344" si="1664">BM340+BQ340</f>
        <v>5000</v>
      </c>
      <c r="BU340" s="15">
        <f>BR340+BT340</f>
        <v>5000</v>
      </c>
      <c r="BX340" s="15">
        <f>BU340+BW340</f>
        <v>5000</v>
      </c>
      <c r="CA340" s="15">
        <f>BX340+BZ340</f>
        <v>5000</v>
      </c>
      <c r="CD340" s="15">
        <f>CA340+CC340</f>
        <v>5000</v>
      </c>
      <c r="CG340" s="15">
        <f>CD340+CF340</f>
        <v>5000</v>
      </c>
      <c r="CJ340" s="15">
        <f>CG340+CI340</f>
        <v>5000</v>
      </c>
      <c r="CM340" s="15">
        <f>CJ340+CL340</f>
        <v>5000</v>
      </c>
      <c r="CO340" s="15">
        <v>-2000</v>
      </c>
      <c r="CP340" s="15">
        <f>CM340+CO340</f>
        <v>3000</v>
      </c>
      <c r="CS340" s="15">
        <f>CP340+CR340</f>
        <v>3000</v>
      </c>
      <c r="CV340" s="15">
        <f>CS340+CU340</f>
        <v>3000</v>
      </c>
      <c r="CY340" s="15">
        <f>CV340+CX340</f>
        <v>3000</v>
      </c>
      <c r="DA340" s="15">
        <v>2100</v>
      </c>
      <c r="DC340" s="15">
        <v>2500</v>
      </c>
      <c r="DE340" s="227">
        <v>-200</v>
      </c>
      <c r="DF340" s="15">
        <f t="shared" ref="DF340:DF344" si="1665">DC340+DE340</f>
        <v>2300</v>
      </c>
      <c r="DH340" s="15"/>
      <c r="DI340" s="15">
        <f t="shared" ref="DI340:DI344" si="1666">DF340+DH340</f>
        <v>2300</v>
      </c>
      <c r="DK340" s="15"/>
      <c r="DL340" s="15">
        <f t="shared" ref="DL340:DL344" si="1667">DI340+DK340</f>
        <v>2300</v>
      </c>
      <c r="DN340" s="15"/>
      <c r="DO340" s="15">
        <f t="shared" ref="DO340:DO344" si="1668">DL340+DN340</f>
        <v>2300</v>
      </c>
      <c r="DQ340" s="15"/>
      <c r="DR340" s="15">
        <f t="shared" ref="DR340:DR344" si="1669">DO340+DQ340</f>
        <v>2300</v>
      </c>
      <c r="DT340" s="15"/>
      <c r="DU340" s="15">
        <f t="shared" ref="DU340:DU344" si="1670">DR340+DT340</f>
        <v>2300</v>
      </c>
      <c r="DW340" s="15"/>
      <c r="DX340" s="15">
        <f t="shared" ref="DX340:DX344" si="1671">DU340+DW340</f>
        <v>2300</v>
      </c>
      <c r="DZ340" s="15"/>
      <c r="EA340" s="15">
        <f t="shared" ref="EA340:EA344" si="1672">DX340+DZ340</f>
        <v>2300</v>
      </c>
      <c r="EC340" s="15"/>
      <c r="ED340" s="15">
        <f t="shared" ref="ED340:ED344" si="1673">EA340+EC340</f>
        <v>2300</v>
      </c>
      <c r="EF340" s="15"/>
      <c r="EG340" s="15">
        <f t="shared" ref="EG340:EG344" si="1674">ED340+EF340</f>
        <v>2300</v>
      </c>
      <c r="EI340" s="15">
        <v>2050</v>
      </c>
      <c r="EK340" s="15">
        <v>0</v>
      </c>
      <c r="EM340" s="15"/>
      <c r="EN340" s="15">
        <f t="shared" ref="EN340:EN344" si="1675">EK340+EM340</f>
        <v>0</v>
      </c>
      <c r="EP340" s="15"/>
      <c r="EQ340" s="15">
        <f t="shared" ref="EQ340:EQ342" si="1676">EN340+EP340</f>
        <v>0</v>
      </c>
      <c r="ES340" s="15"/>
      <c r="ET340" s="15">
        <f t="shared" ref="ET340:ET342" si="1677">EQ340+ES340</f>
        <v>0</v>
      </c>
      <c r="EW340" s="15">
        <f t="shared" ref="EW340:EW342" si="1678">ET340+EV340</f>
        <v>0</v>
      </c>
      <c r="EZ340" s="15">
        <f t="shared" ref="EZ340:EZ342" si="1679">EW340+EY340</f>
        <v>0</v>
      </c>
      <c r="FC340" s="15">
        <f t="shared" ref="FC340:FC342" si="1680">EZ340+FB340</f>
        <v>0</v>
      </c>
      <c r="FF340" s="15">
        <f t="shared" ref="FF340:FF342" si="1681">FC340+FE340</f>
        <v>0</v>
      </c>
      <c r="FI340" s="15">
        <f t="shared" ref="FI340:FI342" si="1682">FF340+FH340</f>
        <v>0</v>
      </c>
      <c r="FL340" s="15">
        <f t="shared" ref="FL340:FL342" si="1683">FI340+FK340</f>
        <v>0</v>
      </c>
      <c r="FO340" s="15">
        <f t="shared" ref="FO340:FO342" si="1684">FL340+FN340</f>
        <v>0</v>
      </c>
      <c r="FR340" s="15">
        <v>0</v>
      </c>
      <c r="FW340" s="235" t="e">
        <f t="shared" si="1631"/>
        <v>#DIV/0!</v>
      </c>
      <c r="FZ340" s="15">
        <f>FV340+FY340</f>
        <v>0</v>
      </c>
      <c r="GB340" s="15"/>
      <c r="GC340" s="15">
        <f>FZ340+GB340</f>
        <v>0</v>
      </c>
      <c r="GE340" s="15"/>
      <c r="GF340" s="15">
        <f>GC340+GE340</f>
        <v>0</v>
      </c>
      <c r="GH340" s="15"/>
      <c r="GI340" s="15">
        <f>GF340+GH340</f>
        <v>0</v>
      </c>
      <c r="GK340" s="15"/>
      <c r="GL340" s="15">
        <f>GI340+GK340</f>
        <v>0</v>
      </c>
      <c r="GN340" s="15"/>
      <c r="GO340" s="15">
        <f>GL340+GN340</f>
        <v>0</v>
      </c>
      <c r="GQ340" s="15"/>
      <c r="GR340" s="15">
        <f>GO340+GQ340</f>
        <v>0</v>
      </c>
      <c r="GT340" s="15"/>
      <c r="GU340" s="15">
        <f>GR340+GT340</f>
        <v>0</v>
      </c>
      <c r="GW340" s="15"/>
      <c r="GX340" s="15">
        <f>GU340+GW340</f>
        <v>0</v>
      </c>
      <c r="GZ340" s="15"/>
      <c r="HA340" s="189">
        <f>GX340+GZ340</f>
        <v>0</v>
      </c>
      <c r="HF340" s="235" t="e">
        <f t="shared" si="1632"/>
        <v>#DIV/0!</v>
      </c>
    </row>
    <row r="341" spans="1:214" outlineLevel="2">
      <c r="A341" s="1" t="s">
        <v>99</v>
      </c>
      <c r="B341" s="1" t="s">
        <v>107</v>
      </c>
      <c r="C341" s="4" t="s">
        <v>108</v>
      </c>
      <c r="D341" s="36"/>
      <c r="E341" s="51"/>
      <c r="F341" s="36"/>
      <c r="G341" s="51"/>
      <c r="H341" s="36"/>
      <c r="Y341" s="118"/>
      <c r="AF341" s="182"/>
      <c r="AH341" s="15"/>
      <c r="AX341" s="15"/>
      <c r="BD341" s="15"/>
      <c r="BG341" s="15"/>
      <c r="BN341" s="235"/>
      <c r="BO341" s="235"/>
      <c r="BR341" s="15"/>
      <c r="BU341" s="15"/>
      <c r="BX341" s="15"/>
      <c r="CA341" s="15"/>
      <c r="CD341" s="15"/>
      <c r="CG341" s="15"/>
      <c r="CJ341" s="15"/>
      <c r="CM341" s="15"/>
      <c r="CP341" s="15"/>
      <c r="CS341" s="15"/>
      <c r="CV341" s="15"/>
      <c r="CY341" s="15"/>
      <c r="DE341" s="227"/>
      <c r="DF341" s="15"/>
      <c r="DH341" s="15"/>
      <c r="DI341" s="15"/>
      <c r="DK341" s="15"/>
      <c r="DL341" s="15"/>
      <c r="DN341" s="227">
        <v>3600</v>
      </c>
      <c r="DO341" s="15">
        <f t="shared" si="1668"/>
        <v>3600</v>
      </c>
      <c r="DQ341" s="15"/>
      <c r="DR341" s="15">
        <f t="shared" si="1669"/>
        <v>3600</v>
      </c>
      <c r="DT341" s="15"/>
      <c r="DU341" s="15">
        <f t="shared" si="1670"/>
        <v>3600</v>
      </c>
      <c r="DW341" s="15"/>
      <c r="DX341" s="15">
        <f t="shared" si="1671"/>
        <v>3600</v>
      </c>
      <c r="DZ341" s="15"/>
      <c r="EA341" s="15">
        <f t="shared" si="1672"/>
        <v>3600</v>
      </c>
      <c r="EC341" s="227">
        <v>-140</v>
      </c>
      <c r="ED341" s="15">
        <f t="shared" si="1673"/>
        <v>3460</v>
      </c>
      <c r="EF341" s="15"/>
      <c r="EG341" s="15">
        <f t="shared" si="1674"/>
        <v>3460</v>
      </c>
      <c r="EI341" s="15">
        <v>3460</v>
      </c>
      <c r="EK341" s="15">
        <v>3460</v>
      </c>
      <c r="EM341" s="15"/>
      <c r="EN341" s="15">
        <f t="shared" si="1675"/>
        <v>3460</v>
      </c>
      <c r="EP341" s="15"/>
      <c r="EQ341" s="15">
        <f t="shared" si="1676"/>
        <v>3460</v>
      </c>
      <c r="ES341" s="15"/>
      <c r="ET341" s="15">
        <f t="shared" si="1677"/>
        <v>3460</v>
      </c>
      <c r="EW341" s="15">
        <f t="shared" si="1678"/>
        <v>3460</v>
      </c>
      <c r="EZ341" s="15">
        <f t="shared" si="1679"/>
        <v>3460</v>
      </c>
      <c r="FC341" s="15">
        <f t="shared" si="1680"/>
        <v>3460</v>
      </c>
      <c r="FF341" s="15">
        <f t="shared" si="1681"/>
        <v>3460</v>
      </c>
      <c r="FI341" s="15">
        <f t="shared" si="1682"/>
        <v>3460</v>
      </c>
      <c r="FK341" s="227">
        <v>-130</v>
      </c>
      <c r="FL341" s="15">
        <f t="shared" si="1683"/>
        <v>3330</v>
      </c>
      <c r="FO341" s="15">
        <f t="shared" si="1684"/>
        <v>3330</v>
      </c>
      <c r="FR341" s="15">
        <v>3330</v>
      </c>
      <c r="FT341" s="15">
        <v>3330</v>
      </c>
      <c r="FV341" s="15">
        <v>3520</v>
      </c>
      <c r="FW341" s="235">
        <f t="shared" si="1631"/>
        <v>1.057057057057057</v>
      </c>
      <c r="FZ341" s="15">
        <f>FV341+FY341</f>
        <v>3520</v>
      </c>
      <c r="GB341" s="15"/>
      <c r="GC341" s="15">
        <f>FZ341+GB341</f>
        <v>3520</v>
      </c>
      <c r="GE341" s="15"/>
      <c r="GF341" s="15">
        <f>GC341+GE341</f>
        <v>3520</v>
      </c>
      <c r="GH341" s="15"/>
      <c r="GI341" s="15">
        <f>GF341+GH341</f>
        <v>3520</v>
      </c>
      <c r="GK341" s="15"/>
      <c r="GL341" s="15">
        <f>GI341+GK341</f>
        <v>3520</v>
      </c>
      <c r="GN341" s="15"/>
      <c r="GO341" s="15">
        <f>GL341+GN341</f>
        <v>3520</v>
      </c>
      <c r="GQ341" s="15"/>
      <c r="GR341" s="15">
        <f>GO341+GQ341</f>
        <v>3520</v>
      </c>
      <c r="GT341" s="15"/>
      <c r="GU341" s="15">
        <f>GR341+GT341</f>
        <v>3520</v>
      </c>
      <c r="GW341" s="15"/>
      <c r="GX341" s="15">
        <f>GU341+GW341</f>
        <v>3520</v>
      </c>
      <c r="GZ341" s="15"/>
      <c r="HA341" s="189">
        <f>GX341+GZ341</f>
        <v>3520</v>
      </c>
      <c r="HC341" s="189">
        <v>3520</v>
      </c>
      <c r="HE341" s="15">
        <v>3600</v>
      </c>
      <c r="HF341" s="235">
        <f t="shared" si="1632"/>
        <v>1.0227272727272727</v>
      </c>
    </row>
    <row r="342" spans="1:214" outlineLevel="2">
      <c r="A342" s="1" t="s">
        <v>99</v>
      </c>
      <c r="B342" s="1" t="s">
        <v>257</v>
      </c>
      <c r="C342" s="4" t="s">
        <v>258</v>
      </c>
      <c r="D342" s="43">
        <v>10000</v>
      </c>
      <c r="E342" s="34">
        <v>65.69</v>
      </c>
      <c r="F342" s="43">
        <v>6569</v>
      </c>
      <c r="G342" s="34">
        <v>100</v>
      </c>
      <c r="H342" s="46">
        <v>6569</v>
      </c>
      <c r="I342" s="15">
        <v>6569</v>
      </c>
      <c r="K342" t="s">
        <v>332</v>
      </c>
      <c r="L342" s="118">
        <v>6700</v>
      </c>
      <c r="M342" s="17">
        <f>L342/F342-1</f>
        <v>1.9942152534632385E-2</v>
      </c>
      <c r="N342" s="17">
        <f>L342/I342-1</f>
        <v>1.9942152534632385E-2</v>
      </c>
      <c r="Q342" s="118">
        <v>6720</v>
      </c>
      <c r="R342" s="15">
        <v>6678</v>
      </c>
      <c r="S342" s="118">
        <v>6720</v>
      </c>
      <c r="T342" s="15">
        <f>S342-Q342</f>
        <v>0</v>
      </c>
      <c r="U342" s="16">
        <f>S342/Q342-1</f>
        <v>0</v>
      </c>
      <c r="V342" s="140">
        <v>3300</v>
      </c>
      <c r="W342">
        <v>3300</v>
      </c>
      <c r="Y342" s="118">
        <v>6720</v>
      </c>
      <c r="AA342" s="118">
        <v>6720</v>
      </c>
      <c r="AB342" s="185">
        <f t="shared" ref="AB342:AB343" si="1685">AA342-Y342</f>
        <v>0</v>
      </c>
      <c r="AC342" s="187">
        <f t="shared" ref="AC342:AC343" si="1686">AA342-Y342</f>
        <v>0</v>
      </c>
      <c r="AD342" s="187"/>
      <c r="AE342" s="118">
        <v>6720</v>
      </c>
      <c r="AF342" s="182"/>
      <c r="AH342" s="15">
        <v>6678.76</v>
      </c>
      <c r="AI342" s="17">
        <f t="shared" ref="AI342:AI343" si="1687">AH342/AE342</f>
        <v>0.99386309523809524</v>
      </c>
      <c r="AK342" s="118">
        <v>6800</v>
      </c>
      <c r="AS342" s="15">
        <f t="shared" ref="AS342:AS343" si="1688">AR342+AK342</f>
        <v>6800</v>
      </c>
      <c r="AV342" s="15">
        <f t="shared" ref="AV342:AV343" si="1689">AS342+AU342</f>
        <v>6800</v>
      </c>
      <c r="AX342" s="15"/>
      <c r="AY342" s="15">
        <f t="shared" ref="AY342:AY343" si="1690">AV342+AX342</f>
        <v>6800</v>
      </c>
      <c r="BB342" s="15">
        <f t="shared" ref="BB342:BB343" si="1691">AY342+BA342</f>
        <v>6800</v>
      </c>
      <c r="BD342" s="15"/>
      <c r="BE342" s="15">
        <f t="shared" ref="BE342:BE343" si="1692">BB342+BD342</f>
        <v>6800</v>
      </c>
      <c r="BG342" s="15"/>
      <c r="BH342" s="15">
        <f t="shared" ref="BH342:BH344" si="1693">BE342+BG342</f>
        <v>6800</v>
      </c>
      <c r="BJ342" s="15">
        <v>6690.08</v>
      </c>
      <c r="BK342" s="235">
        <f t="shared" ref="BK342:BK344" si="1694">BJ342/BH342</f>
        <v>0.98383529411764703</v>
      </c>
      <c r="BM342" s="15">
        <v>6700</v>
      </c>
      <c r="BN342" s="235">
        <f t="shared" si="1641"/>
        <v>1.0014827924329754</v>
      </c>
      <c r="BO342" s="235">
        <f t="shared" si="1642"/>
        <v>0.98529411764705888</v>
      </c>
      <c r="BQ342" s="227">
        <v>50</v>
      </c>
      <c r="BR342" s="15">
        <f t="shared" si="1664"/>
        <v>6750</v>
      </c>
      <c r="BU342" s="15">
        <f>BR342+BT342</f>
        <v>6750</v>
      </c>
      <c r="BX342" s="15">
        <f>BU342+BW342</f>
        <v>6750</v>
      </c>
      <c r="CA342" s="15">
        <f>BX342+BZ342</f>
        <v>6750</v>
      </c>
      <c r="CD342" s="15">
        <f>CA342+CC342</f>
        <v>6750</v>
      </c>
      <c r="CG342" s="15">
        <f>CD342+CF342</f>
        <v>6750</v>
      </c>
      <c r="CJ342" s="15">
        <f>CG342+CI342</f>
        <v>6750</v>
      </c>
      <c r="CM342" s="15">
        <f>CJ342+CL342</f>
        <v>6750</v>
      </c>
      <c r="CP342" s="15">
        <f>CM342+CO342</f>
        <v>6750</v>
      </c>
      <c r="CS342" s="15">
        <f>CP342+CR342</f>
        <v>6750</v>
      </c>
      <c r="CV342" s="15">
        <f>CS342+CU342</f>
        <v>6750</v>
      </c>
      <c r="CY342" s="15">
        <f>CV342+CX342</f>
        <v>6750</v>
      </c>
      <c r="DA342" s="15">
        <v>6735.72</v>
      </c>
      <c r="DC342" s="15">
        <v>6750</v>
      </c>
      <c r="DE342" s="15"/>
      <c r="DF342" s="15">
        <f t="shared" si="1665"/>
        <v>6750</v>
      </c>
      <c r="DH342" s="15"/>
      <c r="DI342" s="15">
        <f t="shared" si="1666"/>
        <v>6750</v>
      </c>
      <c r="DK342" s="15"/>
      <c r="DL342" s="15">
        <f t="shared" si="1667"/>
        <v>6750</v>
      </c>
      <c r="DN342" s="15"/>
      <c r="DO342" s="15">
        <f t="shared" si="1668"/>
        <v>6750</v>
      </c>
      <c r="DQ342" s="15"/>
      <c r="DR342" s="15">
        <f t="shared" si="1669"/>
        <v>6750</v>
      </c>
      <c r="DT342" s="15"/>
      <c r="DU342" s="15">
        <f t="shared" si="1670"/>
        <v>6750</v>
      </c>
      <c r="DW342" s="15"/>
      <c r="DX342" s="15">
        <f t="shared" si="1671"/>
        <v>6750</v>
      </c>
      <c r="DZ342" s="15"/>
      <c r="EA342" s="15">
        <f t="shared" si="1672"/>
        <v>6750</v>
      </c>
      <c r="EC342" s="15"/>
      <c r="ED342" s="15">
        <f t="shared" si="1673"/>
        <v>6750</v>
      </c>
      <c r="EF342" s="15"/>
      <c r="EG342" s="15">
        <f t="shared" si="1674"/>
        <v>6750</v>
      </c>
      <c r="EI342" s="15">
        <v>3301.6</v>
      </c>
      <c r="EK342" s="15">
        <v>3400</v>
      </c>
      <c r="EM342" s="15"/>
      <c r="EN342" s="15">
        <f t="shared" si="1675"/>
        <v>3400</v>
      </c>
      <c r="EP342" s="15"/>
      <c r="EQ342" s="15">
        <f t="shared" si="1676"/>
        <v>3400</v>
      </c>
      <c r="ES342" s="15"/>
      <c r="ET342" s="15">
        <f t="shared" si="1677"/>
        <v>3400</v>
      </c>
      <c r="EW342" s="15">
        <f t="shared" si="1678"/>
        <v>3400</v>
      </c>
      <c r="EZ342" s="15">
        <f t="shared" si="1679"/>
        <v>3400</v>
      </c>
      <c r="FC342" s="15">
        <f t="shared" si="1680"/>
        <v>3400</v>
      </c>
      <c r="FF342" s="15">
        <f t="shared" si="1681"/>
        <v>3400</v>
      </c>
      <c r="FI342" s="15">
        <f t="shared" si="1682"/>
        <v>3400</v>
      </c>
      <c r="FK342" s="227">
        <v>-101</v>
      </c>
      <c r="FL342" s="15">
        <f t="shared" si="1683"/>
        <v>3299</v>
      </c>
      <c r="FO342" s="15">
        <f t="shared" si="1684"/>
        <v>3299</v>
      </c>
      <c r="FR342" s="15">
        <v>3299</v>
      </c>
      <c r="FT342" s="15">
        <v>3298.9</v>
      </c>
      <c r="FV342" s="15">
        <v>3300</v>
      </c>
      <c r="FW342" s="235">
        <f t="shared" si="1631"/>
        <v>1.0003334444814937</v>
      </c>
      <c r="FZ342" s="15">
        <f>FV342+FY342</f>
        <v>3300</v>
      </c>
      <c r="GB342" s="227">
        <v>33</v>
      </c>
      <c r="GC342" s="15">
        <f>FZ342+GB342</f>
        <v>3333</v>
      </c>
      <c r="GE342" s="15"/>
      <c r="GF342" s="15">
        <f>GC342+GE342</f>
        <v>3333</v>
      </c>
      <c r="GH342" s="15"/>
      <c r="GI342" s="15">
        <f>GF342+GH342</f>
        <v>3333</v>
      </c>
      <c r="GK342" s="15"/>
      <c r="GL342" s="15">
        <f>GI342+GK342</f>
        <v>3333</v>
      </c>
      <c r="GN342" s="15"/>
      <c r="GO342" s="15">
        <f>GL342+GN342</f>
        <v>3333</v>
      </c>
      <c r="GQ342" s="15"/>
      <c r="GR342" s="15">
        <f>GO342+GQ342</f>
        <v>3333</v>
      </c>
      <c r="GT342" s="15"/>
      <c r="GU342" s="15">
        <f>GR342+GT342</f>
        <v>3333</v>
      </c>
      <c r="GW342" s="15"/>
      <c r="GX342" s="15">
        <f>GU342+GW342</f>
        <v>3333</v>
      </c>
      <c r="GZ342" s="15"/>
      <c r="HA342" s="189">
        <f>GX342+GZ342</f>
        <v>3333</v>
      </c>
      <c r="HC342" s="189">
        <v>3332.32</v>
      </c>
      <c r="HE342" s="15">
        <v>3400</v>
      </c>
      <c r="HF342" s="235">
        <f t="shared" si="1632"/>
        <v>1.020310174292985</v>
      </c>
    </row>
    <row r="343" spans="1:214" outlineLevel="2">
      <c r="A343" s="1" t="s">
        <v>99</v>
      </c>
      <c r="B343" s="1" t="s">
        <v>129</v>
      </c>
      <c r="C343" s="4" t="s">
        <v>130</v>
      </c>
      <c r="D343" s="43">
        <v>0</v>
      </c>
      <c r="E343" s="34">
        <v>0</v>
      </c>
      <c r="F343" s="43">
        <v>3480</v>
      </c>
      <c r="G343" s="34">
        <v>100</v>
      </c>
      <c r="H343" s="46">
        <v>3480</v>
      </c>
      <c r="I343" s="15">
        <v>3480</v>
      </c>
      <c r="K343" t="s">
        <v>332</v>
      </c>
      <c r="L343" s="118">
        <v>3500</v>
      </c>
      <c r="M343" s="17">
        <f>L343/F343-1</f>
        <v>5.7471264367816577E-3</v>
      </c>
      <c r="N343" s="17">
        <f>L343/I343-1</f>
        <v>5.7471264367816577E-3</v>
      </c>
      <c r="Q343" s="118">
        <v>3590</v>
      </c>
      <c r="R343" s="15">
        <v>3590</v>
      </c>
      <c r="S343" s="118">
        <v>3590</v>
      </c>
      <c r="T343" s="15">
        <f>S343-Q343</f>
        <v>0</v>
      </c>
      <c r="U343" s="16">
        <f>S343/Q343-1</f>
        <v>0</v>
      </c>
      <c r="V343" s="140">
        <v>0</v>
      </c>
      <c r="Y343" s="118">
        <v>3590</v>
      </c>
      <c r="AA343" s="118">
        <v>3590</v>
      </c>
      <c r="AB343" s="185">
        <f t="shared" si="1685"/>
        <v>0</v>
      </c>
      <c r="AC343" s="187">
        <f t="shared" si="1686"/>
        <v>0</v>
      </c>
      <c r="AD343" s="187"/>
      <c r="AE343" s="118">
        <v>3590</v>
      </c>
      <c r="AF343" s="182"/>
      <c r="AH343" s="15">
        <v>3590</v>
      </c>
      <c r="AI343" s="17">
        <f t="shared" si="1687"/>
        <v>1</v>
      </c>
      <c r="AK343" s="118">
        <v>3600</v>
      </c>
      <c r="AS343" s="15">
        <f t="shared" si="1688"/>
        <v>3600</v>
      </c>
      <c r="AV343" s="15">
        <f t="shared" si="1689"/>
        <v>3600</v>
      </c>
      <c r="AX343" s="15"/>
      <c r="AY343" s="15">
        <f t="shared" si="1690"/>
        <v>3600</v>
      </c>
      <c r="BB343" s="15">
        <f t="shared" si="1691"/>
        <v>3600</v>
      </c>
      <c r="BD343" s="15"/>
      <c r="BE343" s="15">
        <f t="shared" si="1692"/>
        <v>3600</v>
      </c>
      <c r="BG343" s="15"/>
      <c r="BH343" s="15">
        <f t="shared" si="1693"/>
        <v>3600</v>
      </c>
      <c r="BJ343" s="15">
        <v>3550</v>
      </c>
      <c r="BK343" s="235">
        <f t="shared" si="1694"/>
        <v>0.98611111111111116</v>
      </c>
      <c r="BM343" s="15">
        <v>3600</v>
      </c>
      <c r="BN343" s="235">
        <f t="shared" si="1641"/>
        <v>1.0140845070422535</v>
      </c>
      <c r="BO343" s="235">
        <f t="shared" si="1642"/>
        <v>1</v>
      </c>
      <c r="BQ343" s="15"/>
      <c r="BR343" s="15">
        <f t="shared" si="1664"/>
        <v>3600</v>
      </c>
      <c r="BU343" s="15">
        <f>BR343+BT343</f>
        <v>3600</v>
      </c>
      <c r="BX343" s="15">
        <f>BU343+BW343</f>
        <v>3600</v>
      </c>
      <c r="CA343" s="15">
        <f>BX343+BZ343</f>
        <v>3600</v>
      </c>
      <c r="CD343" s="15">
        <f>CA343+CC343</f>
        <v>3600</v>
      </c>
      <c r="CG343" s="15">
        <f>CD343+CF343</f>
        <v>3600</v>
      </c>
      <c r="CJ343" s="15">
        <f>CG343+CI343</f>
        <v>3600</v>
      </c>
      <c r="CM343" s="15">
        <f>CJ343+CL343</f>
        <v>3600</v>
      </c>
      <c r="CP343" s="15">
        <f>CM343+CO343</f>
        <v>3600</v>
      </c>
      <c r="CS343" s="15">
        <f>CP343+CR343</f>
        <v>3600</v>
      </c>
      <c r="CV343" s="15">
        <f>CS343+CU343</f>
        <v>3600</v>
      </c>
      <c r="CY343" s="15">
        <f>CV343+CX343</f>
        <v>3600</v>
      </c>
      <c r="DA343" s="15">
        <v>3590</v>
      </c>
      <c r="DC343" s="15">
        <v>3600</v>
      </c>
      <c r="DE343" s="15"/>
      <c r="DF343" s="15">
        <f t="shared" si="1665"/>
        <v>3600</v>
      </c>
      <c r="DH343" s="15"/>
      <c r="DI343" s="15">
        <f t="shared" si="1666"/>
        <v>3600</v>
      </c>
      <c r="DK343" s="15"/>
      <c r="DL343" s="15">
        <f t="shared" si="1667"/>
        <v>3600</v>
      </c>
      <c r="DN343" s="227">
        <v>-3600</v>
      </c>
      <c r="DO343" s="15">
        <f t="shared" si="1668"/>
        <v>0</v>
      </c>
      <c r="DQ343" s="227">
        <v>5300</v>
      </c>
      <c r="DR343" s="15">
        <f t="shared" si="1669"/>
        <v>5300</v>
      </c>
      <c r="DT343" s="15"/>
      <c r="DU343" s="15">
        <f t="shared" si="1670"/>
        <v>5300</v>
      </c>
      <c r="DW343" s="15"/>
      <c r="DX343" s="15">
        <f t="shared" si="1671"/>
        <v>5300</v>
      </c>
      <c r="DZ343" s="15"/>
      <c r="EA343" s="15">
        <f t="shared" si="1672"/>
        <v>5300</v>
      </c>
      <c r="EC343" s="15"/>
      <c r="ED343" s="15">
        <f t="shared" si="1673"/>
        <v>5300</v>
      </c>
      <c r="EF343" s="227">
        <v>-5</v>
      </c>
      <c r="EG343" s="15">
        <f t="shared" si="1674"/>
        <v>5295</v>
      </c>
      <c r="EI343" s="15">
        <v>5295</v>
      </c>
      <c r="EK343" s="15">
        <v>5300</v>
      </c>
      <c r="EM343" s="15"/>
      <c r="EN343" s="15">
        <f>EK343+EM343</f>
        <v>5300</v>
      </c>
      <c r="EP343" s="15"/>
      <c r="EQ343" s="15">
        <f>EN343+EP343</f>
        <v>5300</v>
      </c>
      <c r="ES343" s="15"/>
      <c r="ET343" s="15">
        <f>EQ343+ES343</f>
        <v>5300</v>
      </c>
      <c r="EW343" s="15">
        <f>ET343+EV343</f>
        <v>5300</v>
      </c>
      <c r="EZ343" s="15">
        <f>EW343+EY343</f>
        <v>5300</v>
      </c>
      <c r="FC343" s="15">
        <f>EZ343+FB343</f>
        <v>5300</v>
      </c>
      <c r="FF343" s="15">
        <f>FC343+FE343</f>
        <v>5300</v>
      </c>
      <c r="FI343" s="15">
        <f>FF343+FH343</f>
        <v>5300</v>
      </c>
      <c r="FK343" s="227">
        <v>-260</v>
      </c>
      <c r="FL343" s="15">
        <f>FI343+FK343</f>
        <v>5040</v>
      </c>
      <c r="FO343" s="15">
        <f>FL343+FN343</f>
        <v>5040</v>
      </c>
      <c r="FR343" s="15">
        <v>5040</v>
      </c>
      <c r="FT343" s="15">
        <v>5040</v>
      </c>
      <c r="FV343" s="15">
        <v>0</v>
      </c>
      <c r="FW343" s="235">
        <f t="shared" si="1631"/>
        <v>0</v>
      </c>
      <c r="FZ343" s="15">
        <f>FV343+FY343</f>
        <v>0</v>
      </c>
      <c r="GB343" s="15"/>
      <c r="GC343" s="15">
        <f>FZ343+GB343</f>
        <v>0</v>
      </c>
      <c r="GE343" s="15"/>
      <c r="GF343" s="15">
        <f>GC343+GE343</f>
        <v>0</v>
      </c>
      <c r="GH343" s="15"/>
      <c r="GI343" s="15">
        <f>GF343+GH343</f>
        <v>0</v>
      </c>
      <c r="GK343" s="15"/>
      <c r="GL343" s="15">
        <f>GI343+GK343</f>
        <v>0</v>
      </c>
      <c r="GN343" s="15"/>
      <c r="GO343" s="15">
        <f>GL343+GN343</f>
        <v>0</v>
      </c>
      <c r="GQ343" s="15"/>
      <c r="GR343" s="15">
        <f>GO343+GQ343</f>
        <v>0</v>
      </c>
      <c r="GT343" s="15"/>
      <c r="GU343" s="15">
        <f>GR343+GT343</f>
        <v>0</v>
      </c>
      <c r="GW343" s="15"/>
      <c r="GX343" s="15">
        <f>GU343+GW343</f>
        <v>0</v>
      </c>
      <c r="GZ343" s="15"/>
      <c r="HA343" s="189">
        <f>GX343+GZ343</f>
        <v>0</v>
      </c>
      <c r="HE343" s="15">
        <v>0</v>
      </c>
      <c r="HF343" s="235" t="e">
        <f t="shared" si="1632"/>
        <v>#DIV/0!</v>
      </c>
    </row>
    <row r="344" spans="1:214" outlineLevel="2">
      <c r="A344" s="1" t="s">
        <v>99</v>
      </c>
      <c r="B344" s="1" t="s">
        <v>497</v>
      </c>
      <c r="C344" s="4" t="s">
        <v>498</v>
      </c>
      <c r="D344" s="43"/>
      <c r="E344" s="34"/>
      <c r="F344" s="43"/>
      <c r="G344" s="34"/>
      <c r="H344" s="46"/>
      <c r="M344" s="17"/>
      <c r="N344" s="17"/>
      <c r="U344" s="16"/>
      <c r="Y344" s="118"/>
      <c r="AB344" s="185"/>
      <c r="AC344" s="187"/>
      <c r="AD344" s="187"/>
      <c r="AF344" s="182"/>
      <c r="AH344" s="15"/>
      <c r="AI344" s="17"/>
      <c r="AS344" s="15"/>
      <c r="AV344" s="15"/>
      <c r="AX344" s="15"/>
      <c r="AY344" s="15"/>
      <c r="BB344" s="15"/>
      <c r="BD344" s="15"/>
      <c r="BE344" s="15"/>
      <c r="BG344" s="15">
        <v>1300</v>
      </c>
      <c r="BH344" s="15">
        <f t="shared" si="1693"/>
        <v>1300</v>
      </c>
      <c r="BJ344" s="15">
        <v>1281.0999999999999</v>
      </c>
      <c r="BK344" s="235">
        <f t="shared" si="1694"/>
        <v>0.98546153846153839</v>
      </c>
      <c r="BM344" s="15">
        <v>0</v>
      </c>
      <c r="BN344" s="235">
        <f t="shared" si="1641"/>
        <v>0</v>
      </c>
      <c r="BO344" s="235">
        <f t="shared" si="1642"/>
        <v>0</v>
      </c>
      <c r="BQ344" s="15"/>
      <c r="BR344" s="15">
        <f t="shared" si="1664"/>
        <v>0</v>
      </c>
      <c r="BT344" s="15"/>
      <c r="BU344" s="15">
        <f>BR344+BT344</f>
        <v>0</v>
      </c>
      <c r="BW344" s="15"/>
      <c r="BX344" s="15">
        <f>BU344+BW344</f>
        <v>0</v>
      </c>
      <c r="BZ344" s="15"/>
      <c r="CA344" s="15">
        <f>BX344+BZ344</f>
        <v>0</v>
      </c>
      <c r="CC344" s="15"/>
      <c r="CD344" s="15">
        <f>CA344+CC344</f>
        <v>0</v>
      </c>
      <c r="CF344" s="15"/>
      <c r="CG344" s="15">
        <f>CD344+CF344</f>
        <v>0</v>
      </c>
      <c r="CI344" s="15"/>
      <c r="CJ344" s="15">
        <f>CG344+CI344</f>
        <v>0</v>
      </c>
      <c r="CM344" s="15">
        <f>CJ344+CL344</f>
        <v>0</v>
      </c>
      <c r="CP344" s="15">
        <f>CM344+CO344</f>
        <v>0</v>
      </c>
      <c r="CS344" s="15">
        <f>CP344+CR344</f>
        <v>0</v>
      </c>
      <c r="CV344" s="15">
        <f>CS344+CU344</f>
        <v>0</v>
      </c>
      <c r="CY344" s="15">
        <f>CV344+CX344</f>
        <v>0</v>
      </c>
      <c r="DE344" s="15"/>
      <c r="DF344" s="15">
        <f t="shared" si="1665"/>
        <v>0</v>
      </c>
      <c r="DH344" s="15"/>
      <c r="DI344" s="15">
        <f t="shared" si="1666"/>
        <v>0</v>
      </c>
      <c r="DK344" s="15"/>
      <c r="DL344" s="15">
        <f t="shared" si="1667"/>
        <v>0</v>
      </c>
      <c r="DN344" s="15"/>
      <c r="DO344" s="15">
        <f t="shared" si="1668"/>
        <v>0</v>
      </c>
      <c r="DQ344" s="15"/>
      <c r="DR344" s="15">
        <f t="shared" si="1669"/>
        <v>0</v>
      </c>
      <c r="DT344" s="15"/>
      <c r="DU344" s="15">
        <f t="shared" si="1670"/>
        <v>0</v>
      </c>
      <c r="DW344" s="15"/>
      <c r="DX344" s="15">
        <f t="shared" si="1671"/>
        <v>0</v>
      </c>
      <c r="DZ344" s="15"/>
      <c r="EA344" s="15">
        <f t="shared" si="1672"/>
        <v>0</v>
      </c>
      <c r="EC344" s="15"/>
      <c r="ED344" s="15">
        <f t="shared" si="1673"/>
        <v>0</v>
      </c>
      <c r="EF344" s="15"/>
      <c r="EG344" s="15">
        <f t="shared" si="1674"/>
        <v>0</v>
      </c>
      <c r="EK344" s="15">
        <v>0</v>
      </c>
      <c r="EM344" s="15"/>
      <c r="EN344" s="15">
        <f t="shared" si="1675"/>
        <v>0</v>
      </c>
      <c r="EP344" s="15"/>
      <c r="EQ344" s="15">
        <f t="shared" ref="EQ344" si="1695">EN344+EP344</f>
        <v>0</v>
      </c>
      <c r="ES344" s="15"/>
      <c r="ET344" s="15">
        <f t="shared" ref="ET344" si="1696">EQ344+ES344</f>
        <v>0</v>
      </c>
      <c r="EW344" s="15">
        <f t="shared" ref="EW344" si="1697">ET344+EV344</f>
        <v>0</v>
      </c>
      <c r="EZ344" s="15">
        <f t="shared" ref="EZ344" si="1698">EW344+EY344</f>
        <v>0</v>
      </c>
      <c r="FC344" s="15">
        <f t="shared" ref="FC344" si="1699">EZ344+FB344</f>
        <v>0</v>
      </c>
      <c r="FF344" s="15">
        <f t="shared" ref="FF344" si="1700">FC344+FE344</f>
        <v>0</v>
      </c>
      <c r="FI344" s="15">
        <f t="shared" ref="FI344" si="1701">FF344+FH344</f>
        <v>0</v>
      </c>
      <c r="FL344" s="15">
        <f t="shared" ref="FL344" si="1702">FI344+FK344</f>
        <v>0</v>
      </c>
      <c r="FO344" s="15">
        <f t="shared" ref="FO344" si="1703">FL344+FN344</f>
        <v>0</v>
      </c>
      <c r="FR344" s="15">
        <v>0</v>
      </c>
      <c r="FW344" s="235" t="e">
        <f t="shared" si="1631"/>
        <v>#DIV/0!</v>
      </c>
      <c r="FZ344" s="15">
        <f>FV344+FY344</f>
        <v>0</v>
      </c>
      <c r="GB344" s="15"/>
      <c r="GC344" s="15">
        <f>FZ344+GB344</f>
        <v>0</v>
      </c>
      <c r="GE344" s="15"/>
      <c r="GF344" s="15">
        <f>GC344+GE344</f>
        <v>0</v>
      </c>
      <c r="GH344" s="15"/>
      <c r="GI344" s="15">
        <f>GF344+GH344</f>
        <v>0</v>
      </c>
      <c r="GK344" s="15"/>
      <c r="GL344" s="15">
        <f>GI344+GK344</f>
        <v>0</v>
      </c>
      <c r="GN344" s="15"/>
      <c r="GO344" s="15">
        <f>GL344+GN344</f>
        <v>0</v>
      </c>
      <c r="GQ344" s="15"/>
      <c r="GR344" s="15">
        <f>GO344+GQ344</f>
        <v>0</v>
      </c>
      <c r="GT344" s="15"/>
      <c r="GU344" s="15">
        <f>GR344+GT344</f>
        <v>0</v>
      </c>
      <c r="GW344" s="15"/>
      <c r="GX344" s="15">
        <f>GU344+GW344</f>
        <v>0</v>
      </c>
      <c r="GZ344" s="227">
        <v>1900</v>
      </c>
      <c r="HA344" s="189">
        <f>GX344+GZ344</f>
        <v>1900</v>
      </c>
      <c r="HC344" s="189">
        <v>1894.58</v>
      </c>
      <c r="HE344" s="227"/>
      <c r="HF344" s="235">
        <f t="shared" si="1632"/>
        <v>0</v>
      </c>
    </row>
    <row r="345" spans="1:214" outlineLevel="2">
      <c r="A345" s="1" t="s">
        <v>99</v>
      </c>
      <c r="B345" s="4" t="s">
        <v>46</v>
      </c>
      <c r="C345" s="4" t="s">
        <v>102</v>
      </c>
      <c r="D345" s="43">
        <v>10000</v>
      </c>
      <c r="E345" s="34">
        <v>100.49</v>
      </c>
      <c r="F345" s="43">
        <v>10049</v>
      </c>
      <c r="G345" s="34">
        <v>100</v>
      </c>
      <c r="H345" s="46">
        <v>10049</v>
      </c>
      <c r="Y345" s="118"/>
      <c r="AF345" s="182"/>
      <c r="AH345" s="15"/>
      <c r="AX345" s="15"/>
      <c r="BD345" s="15"/>
      <c r="BG345" s="15"/>
      <c r="DE345" s="15"/>
      <c r="DH345" s="15"/>
      <c r="DK345" s="15"/>
      <c r="DN345" s="15"/>
      <c r="DQ345" s="15"/>
      <c r="DT345" s="15"/>
      <c r="DW345" s="15"/>
      <c r="DZ345" s="15"/>
      <c r="EC345" s="15"/>
      <c r="EF345" s="15"/>
      <c r="EK345" s="15"/>
      <c r="EM345" s="15"/>
      <c r="EP345" s="15"/>
      <c r="ES345" s="15"/>
      <c r="GB345" s="15"/>
      <c r="GE345" s="15"/>
      <c r="GH345" s="15"/>
      <c r="GK345" s="15"/>
      <c r="GN345" s="15"/>
      <c r="GQ345" s="15"/>
      <c r="GT345" s="15"/>
      <c r="GW345" s="15"/>
      <c r="GZ345" s="15"/>
    </row>
    <row r="346" spans="1:214" outlineLevel="2">
      <c r="A346" s="1" t="s">
        <v>103</v>
      </c>
      <c r="B346" s="4" t="s">
        <v>48</v>
      </c>
      <c r="C346" s="4" t="s">
        <v>104</v>
      </c>
      <c r="D346" s="43">
        <v>10000</v>
      </c>
      <c r="E346" s="34">
        <v>401.75</v>
      </c>
      <c r="F346" s="43">
        <v>40175</v>
      </c>
      <c r="G346" s="34">
        <v>100</v>
      </c>
      <c r="H346" s="46">
        <v>40175</v>
      </c>
      <c r="Y346" s="118"/>
      <c r="AF346" s="182"/>
      <c r="AH346" s="15"/>
      <c r="AX346" s="15"/>
      <c r="BD346" s="15"/>
      <c r="BG346" s="15"/>
      <c r="DE346" s="15"/>
      <c r="DH346" s="15"/>
      <c r="DK346" s="15"/>
      <c r="DN346" s="15"/>
      <c r="DQ346" s="15"/>
      <c r="DT346" s="15"/>
      <c r="DW346" s="15"/>
      <c r="DZ346" s="15"/>
      <c r="EC346" s="15"/>
      <c r="EF346" s="15"/>
      <c r="EK346" s="15"/>
      <c r="EM346" s="15"/>
      <c r="EP346" s="15"/>
      <c r="ES346" s="15"/>
      <c r="GB346" s="15"/>
      <c r="GE346" s="15"/>
      <c r="GH346" s="15"/>
      <c r="GK346" s="15"/>
      <c r="GN346" s="15"/>
      <c r="GQ346" s="15"/>
      <c r="GT346" s="15"/>
      <c r="GW346" s="15"/>
      <c r="GZ346" s="15"/>
    </row>
    <row r="347" spans="1:214" ht="16.5" customHeight="1" thickBot="1">
      <c r="A347" s="54" t="s">
        <v>103</v>
      </c>
      <c r="B347" s="55" t="s">
        <v>316</v>
      </c>
      <c r="C347" s="56" t="s">
        <v>355</v>
      </c>
      <c r="D347" s="57">
        <f>D337+D342+D343</f>
        <v>10000</v>
      </c>
      <c r="E347" s="58"/>
      <c r="F347" s="57">
        <f>F337+F342+F343</f>
        <v>40175</v>
      </c>
      <c r="G347" s="58"/>
      <c r="H347" s="57"/>
      <c r="I347" s="57">
        <f>I337+I342+I343</f>
        <v>40175</v>
      </c>
      <c r="J347" s="59"/>
      <c r="K347" s="60"/>
      <c r="L347" s="122">
        <f>L337+L342+L343</f>
        <v>10200</v>
      </c>
      <c r="M347" s="61">
        <f>L347/F347-1</f>
        <v>-0.746110765401369</v>
      </c>
      <c r="N347" s="61">
        <f>L347/I347-1</f>
        <v>-0.746110765401369</v>
      </c>
      <c r="Q347" s="122">
        <f>Q337+Q342+Q343</f>
        <v>26110</v>
      </c>
      <c r="R347" s="122">
        <f>R337+R342+R343</f>
        <v>25985</v>
      </c>
      <c r="S347" s="122">
        <f>S337+S342+S343</f>
        <v>26110</v>
      </c>
      <c r="T347" s="122">
        <f>T337+T342+T343</f>
        <v>0</v>
      </c>
      <c r="U347" s="155">
        <f>S347/Q347-1</f>
        <v>0</v>
      </c>
      <c r="Y347" s="122">
        <f>Y337+Y342+Y343</f>
        <v>26110</v>
      </c>
      <c r="AA347" s="122">
        <f>AA337+AA342+AA343</f>
        <v>26110</v>
      </c>
      <c r="AB347" s="122">
        <f>AB337+AB342+AB343</f>
        <v>0</v>
      </c>
      <c r="AE347" s="122">
        <f>AE337+AE342+AE343</f>
        <v>26110</v>
      </c>
      <c r="AF347" s="182"/>
      <c r="AH347" s="122">
        <f>AH337+AH342+AH343</f>
        <v>25985.760000000002</v>
      </c>
      <c r="AI347" s="17">
        <f t="shared" ref="AI347" si="1704">AH347/AE347</f>
        <v>0.99524166985829188</v>
      </c>
      <c r="AK347" s="122">
        <f>AK337+AK342+AK343</f>
        <v>21400</v>
      </c>
      <c r="AL347" s="193">
        <f>AK347/L347</f>
        <v>2.0980392156862746</v>
      </c>
      <c r="AM347" s="17">
        <f>AK347/AE347</f>
        <v>0.81960934507851402</v>
      </c>
      <c r="AN347" s="17">
        <f>AK347/AH347</f>
        <v>0.8235279630074317</v>
      </c>
      <c r="AS347" s="122">
        <f>AS337+AS342+AS343</f>
        <v>21400</v>
      </c>
      <c r="AU347" s="122">
        <f>AU337+AU342+AU343</f>
        <v>0</v>
      </c>
      <c r="AV347" s="122">
        <f>AV337+AV342+AV343</f>
        <v>21400</v>
      </c>
      <c r="AX347" s="122">
        <f>AX337+AX342+AX343</f>
        <v>0</v>
      </c>
      <c r="AY347" s="122">
        <f>AY337+AY342+AY343</f>
        <v>21400</v>
      </c>
      <c r="BA347" s="122">
        <f>BA337+BA342+BA343</f>
        <v>0</v>
      </c>
      <c r="BB347" s="122">
        <f>BB337+BB342+BB343</f>
        <v>21400</v>
      </c>
      <c r="BD347" s="122">
        <f>BD337+BD342+BD343</f>
        <v>0</v>
      </c>
      <c r="BE347" s="122">
        <f>BE337+BE342+BE343</f>
        <v>21400</v>
      </c>
      <c r="BG347" s="122">
        <f>BG337+BG342+BG343+BG344</f>
        <v>1300</v>
      </c>
      <c r="BH347" s="122">
        <f>BH337+BH342+BH343+BH344</f>
        <v>22700</v>
      </c>
      <c r="BJ347" s="122">
        <f>BJ337+BJ342+BJ343+BJ344</f>
        <v>22055.18</v>
      </c>
      <c r="BK347" s="236">
        <f t="shared" ref="BK347" si="1705">BJ347/BH347</f>
        <v>0.97159383259911891</v>
      </c>
      <c r="BM347" s="122">
        <f>BM337+BM342+BM343+BM344</f>
        <v>24800</v>
      </c>
      <c r="BN347" s="236">
        <f t="shared" ref="BN347" si="1706">BM347/BJ347</f>
        <v>1.1244523962171245</v>
      </c>
      <c r="BO347" s="236">
        <f t="shared" ref="BO347" si="1707">BM347/BH347</f>
        <v>1.0925110132158591</v>
      </c>
      <c r="BQ347" s="122">
        <f>BQ337+BQ342+BQ343+BQ344+BQ340</f>
        <v>5050</v>
      </c>
      <c r="BR347" s="122">
        <f>BR337+BR342+BR343+BR344+BR340</f>
        <v>29850</v>
      </c>
      <c r="BT347" s="122">
        <f>BT337+BT342+BT343+BT344+BT340</f>
        <v>0</v>
      </c>
      <c r="BU347" s="122">
        <f>BU337+BU342+BU343+BU344+BU340</f>
        <v>29850</v>
      </c>
      <c r="BW347" s="122">
        <f>BW337+BW342+BW343+BW344+BW340</f>
        <v>0</v>
      </c>
      <c r="BX347" s="122">
        <f>BX337+BX342+BX343+BX344+BX340</f>
        <v>29850</v>
      </c>
      <c r="BZ347" s="122">
        <f>BZ337+BZ342+BZ343+BZ344+BZ340</f>
        <v>0</v>
      </c>
      <c r="CA347" s="122">
        <f>CA337+CA342+CA343+CA344+CA340</f>
        <v>29850</v>
      </c>
      <c r="CC347" s="122">
        <f>CC337+CC342+CC343+CC344+CC340</f>
        <v>0</v>
      </c>
      <c r="CD347" s="122">
        <f>CD337+CD342+CD343+CD344+CD340</f>
        <v>29850</v>
      </c>
      <c r="CF347" s="122">
        <f>CF337+CF342+CF343+CF344+CF340+CF339</f>
        <v>10</v>
      </c>
      <c r="CG347" s="122">
        <f>CG337+CG342+CG343+CG344+CG340+CG339</f>
        <v>29860</v>
      </c>
      <c r="CI347" s="122">
        <f>CI337+CI342+CI343+CI344+CI340+CI339</f>
        <v>0</v>
      </c>
      <c r="CJ347" s="122">
        <f>CJ337+CJ342+CJ343+CJ344+CJ340+CJ339</f>
        <v>29860</v>
      </c>
      <c r="CL347" s="319">
        <f>CL337+CL342+CL343+CL344+CL340+CL339</f>
        <v>0</v>
      </c>
      <c r="CM347" s="122">
        <f>CM337+CM342+CM343+CM344+CM340+CM339</f>
        <v>29860</v>
      </c>
      <c r="CO347" s="122">
        <f>CO337+CO342+CO343+CO344+CO340+CO339</f>
        <v>-2000</v>
      </c>
      <c r="CP347" s="122">
        <f>CP337+CP342+CP343+CP344+CP340+CP339</f>
        <v>27860</v>
      </c>
      <c r="CR347" s="122">
        <f>CR337+CR342+CR343+CR344+CR340+CR339</f>
        <v>0</v>
      </c>
      <c r="CS347" s="122">
        <f>CS337+CS342+CS343+CS344+CS340+CS339</f>
        <v>27860</v>
      </c>
      <c r="CU347" s="122">
        <f>CU337+CU342+CU343+CU344+CU340+CU339</f>
        <v>0</v>
      </c>
      <c r="CV347" s="122">
        <f>CV337+CV342+CV343+CV344+CV340+CV339</f>
        <v>27860</v>
      </c>
      <c r="CX347" s="122">
        <f>CX337+CX342+CX343+CX344+CX340+CX339</f>
        <v>0</v>
      </c>
      <c r="CY347" s="122">
        <f>CY337+CY342+CY343+CY344+CY340+CY339</f>
        <v>27860</v>
      </c>
      <c r="DA347" s="122">
        <f>DA337+DA342+DA343+DA344+DA340+DA339</f>
        <v>26855.72</v>
      </c>
      <c r="DC347" s="122">
        <f>DC337+DC342+DC343+DC344+DC340+DC339</f>
        <v>42850</v>
      </c>
      <c r="DE347" s="122">
        <f>DE337+DE342+DE343+DE344+DE340</f>
        <v>0</v>
      </c>
      <c r="DF347" s="122">
        <f>DF337+DF342+DF343+DF344+DF340</f>
        <v>42850</v>
      </c>
      <c r="DH347" s="122">
        <f>DH337+DH342+DH343+DH344+DH340</f>
        <v>0</v>
      </c>
      <c r="DI347" s="122">
        <f>DI337+DI342+DI343+DI344+DI340</f>
        <v>42850</v>
      </c>
      <c r="DK347" s="122">
        <f>DK337+DK342+DK343+DK344+DK340</f>
        <v>0</v>
      </c>
      <c r="DL347" s="122">
        <f>DL337+DL342+DL343+DL344+DL340</f>
        <v>42850</v>
      </c>
      <c r="DN347" s="122">
        <f>DN337+DN342+DN343+DN344+DN340+DN341</f>
        <v>0</v>
      </c>
      <c r="DO347" s="122">
        <f>DO337+DO342+DO343+DO344+DO340+DO341</f>
        <v>42850</v>
      </c>
      <c r="DQ347" s="122">
        <f>DQ337+DQ342+DQ343+DQ344+DQ340+DQ341</f>
        <v>5300</v>
      </c>
      <c r="DR347" s="122">
        <f>DR337+DR342+DR343+DR344+DR340+DR341</f>
        <v>48150</v>
      </c>
      <c r="DT347" s="122">
        <f>DT337+DT342+DT343+DT344+DT340+DT341</f>
        <v>0</v>
      </c>
      <c r="DU347" s="122">
        <f>DU337+DU342+DU343+DU344+DU340+DU341</f>
        <v>48150</v>
      </c>
      <c r="DW347" s="122">
        <f>DW337+DW342+DW343+DW344+DW340+DW341</f>
        <v>0</v>
      </c>
      <c r="DX347" s="122">
        <f>DX337+DX342+DX343+DX344+DX340+DX341</f>
        <v>48150</v>
      </c>
      <c r="DZ347" s="122">
        <f>DZ337+DZ342+DZ343+DZ344+DZ340+DZ341</f>
        <v>480</v>
      </c>
      <c r="EA347" s="122">
        <f>EA337+EA342+EA343+EA344+EA340+EA341</f>
        <v>48630</v>
      </c>
      <c r="EC347" s="122">
        <f>EC337+EC342+EC343+EC344+EC340+EC341</f>
        <v>-140</v>
      </c>
      <c r="ED347" s="122">
        <f>ED337+ED342+ED343+ED344+ED340+ED341</f>
        <v>48490</v>
      </c>
      <c r="EF347" s="122">
        <f>EF337+EF342+EF343+EF344+EF340+EF341</f>
        <v>-547</v>
      </c>
      <c r="EG347" s="122">
        <f>EG337+EG342+EG343+EG344+EG340+EG341</f>
        <v>47943</v>
      </c>
      <c r="EI347" s="122">
        <f>EI337+EI342+EI343+EI344+EI340+EI341</f>
        <v>44244.6</v>
      </c>
      <c r="EK347" s="122">
        <f>EK337+EK342+EK343+EK344+EK340+EK341</f>
        <v>33402</v>
      </c>
      <c r="EM347" s="122">
        <f>EM337+EM342+EM343+EM344+EM340+EM341</f>
        <v>0</v>
      </c>
      <c r="EN347" s="122">
        <f>EN337+EN342+EN343+EN344+EN340+EN341</f>
        <v>33402</v>
      </c>
      <c r="EP347" s="122">
        <f>EP337+EP342+EP343+EP344+EP340+EP341</f>
        <v>0</v>
      </c>
      <c r="EQ347" s="122">
        <f>EQ337+EQ342+EQ343+EQ344+EQ340+EQ341</f>
        <v>33402</v>
      </c>
      <c r="ES347" s="122">
        <f>ES337+ES342+ES343+ES344+ES340+ES341</f>
        <v>0</v>
      </c>
      <c r="ET347" s="122">
        <f>ET337+ET342+ET343+ET344+ET340+ET341</f>
        <v>33402</v>
      </c>
      <c r="EV347" s="122">
        <f>EV337+EV342+EV343+EV344+EV340+EV341</f>
        <v>0</v>
      </c>
      <c r="EW347" s="122">
        <f>EW337+EW342+EW343+EW344+EW340+EW341</f>
        <v>33402</v>
      </c>
      <c r="EY347" s="122">
        <f>EY337+EY342+EY343+EY344+EY340+EY341</f>
        <v>0</v>
      </c>
      <c r="EZ347" s="122">
        <f>EZ337+EZ342+EZ343+EZ344+EZ340+EZ341</f>
        <v>33402</v>
      </c>
      <c r="FB347" s="122">
        <f>FB337+FB342+FB343+FB344+FB340+FB341</f>
        <v>0</v>
      </c>
      <c r="FC347" s="122">
        <f>FC337+FC342+FC343+FC344+FC340+FC341</f>
        <v>33402</v>
      </c>
      <c r="FE347" s="122">
        <f>FE337+FE342+FE343+FE344+FE340+FE341</f>
        <v>0</v>
      </c>
      <c r="FF347" s="122">
        <f>FF337+FF342+FF343+FF344+FF340+FF341</f>
        <v>33402</v>
      </c>
      <c r="FH347" s="122">
        <f>FH337+FH342+FH343+FH344+FH340+FH341</f>
        <v>0</v>
      </c>
      <c r="FI347" s="122">
        <f>FI337+FI342+FI343+FI344+FI340+FI341</f>
        <v>33402</v>
      </c>
      <c r="FK347" s="122">
        <f>FK337+FK342+FK343+FK344+FK340+FK341</f>
        <v>-491</v>
      </c>
      <c r="FL347" s="122">
        <f>FL337+FL342+FL343+FL344+FL340+FL341</f>
        <v>32911</v>
      </c>
      <c r="FN347" s="122">
        <f>FN337+FN342+FN343+FN344+FN340+FN341</f>
        <v>0</v>
      </c>
      <c r="FO347" s="122">
        <f>FO337+FO342+FO343+FO344+FO340+FO341</f>
        <v>32911</v>
      </c>
      <c r="FQ347" s="122">
        <v>0</v>
      </c>
      <c r="FR347" s="122">
        <v>32911</v>
      </c>
      <c r="FT347" s="122">
        <f>FT337+FT342+FT343+FT344+FT340+FT341</f>
        <v>32910.9</v>
      </c>
      <c r="FV347" s="122">
        <f>FV337+FV342+FV343+FV344+FV340+FV341</f>
        <v>38285</v>
      </c>
      <c r="FW347" s="235">
        <f t="shared" ref="FW347" si="1708">FV347/FT347</f>
        <v>1.163292404644054</v>
      </c>
      <c r="FY347" s="122">
        <f>FY337+FY342+FY343+FY344+FY340+FY341</f>
        <v>17070</v>
      </c>
      <c r="FZ347" s="122">
        <f>FZ337+FZ342+FZ343+FZ344+FZ340+FZ341</f>
        <v>55355</v>
      </c>
      <c r="GB347" s="122">
        <f>GB337+GB342+GB343+GB344+GB340+GB341</f>
        <v>33</v>
      </c>
      <c r="GC347" s="122">
        <f>GC337+GC342+GC343+GC344+GC340+GC341</f>
        <v>55388</v>
      </c>
      <c r="GE347" s="122">
        <f>GE337+GE342+GE343+GE344+GE340+GE341</f>
        <v>0</v>
      </c>
      <c r="GF347" s="122">
        <f>GF337+GF342+GF343+GF344+GF340+GF341</f>
        <v>55388</v>
      </c>
      <c r="GH347" s="122">
        <f>GH337+GH342+GH343+GH344+GH340+GH341</f>
        <v>0</v>
      </c>
      <c r="GI347" s="122">
        <f>GI337+GI342+GI343+GI344+GI340+GI341</f>
        <v>55388</v>
      </c>
      <c r="GK347" s="122">
        <f>GK337+GK342+GK343+GK344+GK340+GK341</f>
        <v>0</v>
      </c>
      <c r="GL347" s="122">
        <f>GL337+GL342+GL343+GL344+GL340+GL341</f>
        <v>55388</v>
      </c>
      <c r="GN347" s="122">
        <f>GN337+GN342+GN343+GN344+GN340+GN341</f>
        <v>0</v>
      </c>
      <c r="GO347" s="122">
        <f>GO337+GO342+GO343+GO344+GO340+GO341</f>
        <v>55388</v>
      </c>
      <c r="GQ347" s="122">
        <f>GQ337+GQ342+GQ343+GQ344+GQ340+GQ341</f>
        <v>0</v>
      </c>
      <c r="GR347" s="122">
        <f>GR337+GR342+GR343+GR344+GR340+GR341</f>
        <v>55388</v>
      </c>
      <c r="GT347" s="122">
        <f>GT337+GT342+GT343+GT344+GT340+GT341</f>
        <v>-0.4</v>
      </c>
      <c r="GU347" s="122">
        <f>GU337+GU342+GU343+GU344+GU340+GU341</f>
        <v>55387.6</v>
      </c>
      <c r="GW347" s="122">
        <f>GW337+GW342+GW343+GW344+GW340+GW341</f>
        <v>0</v>
      </c>
      <c r="GX347" s="122">
        <f>GX337+GX342+GX343+GX344+GX340+GX341</f>
        <v>55387.6</v>
      </c>
      <c r="GZ347" s="122">
        <f>GZ337+GZ342+GZ343+GZ344+GZ340+GZ341</f>
        <v>1900</v>
      </c>
      <c r="HA347" s="430">
        <f>HA337+HA342+HA343+HA344+HA340+HA341</f>
        <v>57287.6</v>
      </c>
      <c r="HC347" s="122">
        <f>HC337+HC342+HC343+HC344+HC340+HC341</f>
        <v>57281.5</v>
      </c>
      <c r="HE347" s="122">
        <f>HE337+HE342+HE343+HE344+HE340+HE341</f>
        <v>24136.2</v>
      </c>
      <c r="HF347" s="235">
        <f>HE347/HC347</f>
        <v>0.42136117245533028</v>
      </c>
    </row>
    <row r="348" spans="1:214" ht="15" customHeight="1" thickTop="1">
      <c r="A348" s="468" t="s">
        <v>259</v>
      </c>
      <c r="B348" s="467"/>
      <c r="C348" s="469"/>
      <c r="D348" s="43">
        <v>6607000</v>
      </c>
      <c r="E348" s="34">
        <v>75.77</v>
      </c>
      <c r="F348" s="43">
        <v>6836574.3399999999</v>
      </c>
      <c r="G348" s="34">
        <v>73.23</v>
      </c>
      <c r="H348" s="46">
        <v>5006207.7699999996</v>
      </c>
      <c r="AF348" s="182"/>
      <c r="AH348" s="15"/>
      <c r="AX348" s="15"/>
      <c r="BD348" s="15"/>
      <c r="BG348" s="15"/>
      <c r="BN348" s="235"/>
      <c r="BO348" s="235"/>
      <c r="DE348" s="15"/>
      <c r="DF348" s="15"/>
      <c r="DH348" s="15"/>
      <c r="DI348" s="15"/>
      <c r="DK348" s="15"/>
      <c r="DL348" s="15"/>
      <c r="DN348" s="15"/>
      <c r="DO348" s="15"/>
      <c r="DQ348" s="15"/>
      <c r="DR348" s="15"/>
      <c r="DT348" s="15"/>
      <c r="DU348" s="15"/>
      <c r="DW348" s="15"/>
      <c r="DX348" s="15"/>
      <c r="DZ348" s="15"/>
      <c r="EA348" s="15"/>
      <c r="EC348" s="15"/>
      <c r="ED348" s="15"/>
      <c r="EF348" s="15"/>
      <c r="EG348" s="15"/>
      <c r="EK348" s="15"/>
      <c r="EM348" s="15"/>
      <c r="EN348" s="15"/>
      <c r="EP348" s="15"/>
      <c r="EQ348" s="15"/>
      <c r="ES348" s="15"/>
      <c r="ET348" s="15"/>
      <c r="EW348" s="15"/>
      <c r="EZ348" s="15"/>
      <c r="FC348" s="15"/>
      <c r="FF348" s="15"/>
      <c r="FI348" s="15"/>
      <c r="FL348" s="15"/>
      <c r="FO348" s="15"/>
      <c r="FR348" s="15"/>
      <c r="FZ348" s="15"/>
      <c r="GB348" s="15"/>
      <c r="GC348" s="15"/>
      <c r="GE348" s="15"/>
      <c r="GF348" s="15"/>
      <c r="GH348" s="15"/>
      <c r="GI348" s="15"/>
      <c r="GK348" s="15"/>
      <c r="GL348" s="15"/>
      <c r="GN348" s="15"/>
      <c r="GO348" s="15"/>
      <c r="GQ348" s="15"/>
      <c r="GR348" s="15"/>
      <c r="GT348" s="15"/>
      <c r="GU348" s="15"/>
      <c r="GW348" s="15"/>
      <c r="GX348" s="15"/>
      <c r="GZ348" s="15"/>
    </row>
    <row r="349" spans="1:214">
      <c r="AF349" s="182"/>
      <c r="AH349" s="15"/>
      <c r="AX349" s="15"/>
      <c r="BD349" s="15"/>
      <c r="BG349" s="15"/>
      <c r="BN349" s="235"/>
      <c r="BO349" s="235"/>
      <c r="DE349" s="15"/>
      <c r="DF349" s="15"/>
      <c r="DH349" s="15"/>
      <c r="DI349" s="15"/>
      <c r="DK349" s="15"/>
      <c r="DL349" s="15"/>
      <c r="DN349" s="15"/>
      <c r="DO349" s="15"/>
      <c r="DQ349" s="15"/>
      <c r="DR349" s="15"/>
      <c r="DT349" s="15"/>
      <c r="DU349" s="15"/>
      <c r="DW349" s="15"/>
      <c r="DX349" s="15"/>
      <c r="DZ349" s="15"/>
      <c r="EA349" s="15"/>
      <c r="EC349" s="15"/>
      <c r="ED349" s="15"/>
      <c r="EF349" s="15"/>
      <c r="EG349" s="15"/>
      <c r="EK349" s="15"/>
      <c r="EM349" s="15"/>
      <c r="EN349" s="15"/>
      <c r="EP349" s="15"/>
      <c r="EQ349" s="15"/>
      <c r="ES349" s="15"/>
      <c r="ET349" s="15"/>
      <c r="EW349" s="15"/>
      <c r="EZ349" s="15"/>
      <c r="FC349" s="15"/>
      <c r="FF349" s="15"/>
      <c r="FI349" s="15"/>
      <c r="FL349" s="15"/>
      <c r="FO349" s="15"/>
      <c r="FR349" s="15"/>
      <c r="FZ349" s="15"/>
      <c r="GB349" s="15"/>
      <c r="GC349" s="15"/>
      <c r="GE349" s="15"/>
      <c r="GF349" s="15"/>
      <c r="GH349" s="15"/>
      <c r="GI349" s="15"/>
      <c r="GK349" s="15"/>
      <c r="GL349" s="15"/>
      <c r="GN349" s="15"/>
      <c r="GO349" s="15"/>
      <c r="GQ349" s="15"/>
      <c r="GR349" s="15"/>
      <c r="GT349" s="15"/>
      <c r="GU349" s="15"/>
      <c r="GW349" s="15"/>
      <c r="GX349" s="15"/>
      <c r="GZ349" s="15"/>
    </row>
    <row r="350" spans="1:214" ht="15.75" thickBot="1">
      <c r="A350" s="60"/>
      <c r="B350" s="60" t="s">
        <v>316</v>
      </c>
      <c r="C350" s="283" t="s">
        <v>317</v>
      </c>
      <c r="D350" s="62" t="e">
        <f>D8+D23+D31+D37+D43+D70+D84+D96+D103+D117+D131+D136+D146+D155+D167+D179+D203+D240+D247+D278+D311+D320+D324+D331+D336+D347</f>
        <v>#REF!</v>
      </c>
      <c r="E350" s="63"/>
      <c r="F350" s="62" t="e">
        <f>F8+F23+F31+F37+F43+F70+F84+F96+F103+F117+F131+F136+F146+F155+F167+F179+F203+F240+F247+F278+F311+F320+F324+F331+F336+F347</f>
        <v>#REF!</v>
      </c>
      <c r="G350" s="63"/>
      <c r="H350" s="62"/>
      <c r="I350" s="62" t="e">
        <f>I8+I23+I31+I37+I43+I70+I84+I96+I103+I117+I131+I136+I146+I155+I167+I179+I203+I240+I247+I278+I311+I320+I324+I331+I336+I347</f>
        <v>#REF!</v>
      </c>
      <c r="J350" s="60"/>
      <c r="K350" s="60"/>
      <c r="L350" s="127">
        <f>L8+L23+L31+L37+L43+L70+L84+L96+L103+L117+L131+L136+L146+L155+L167+L179+L203+L240+L247+L278+L311+L320+L324+L331+L336+L347</f>
        <v>4309999.92</v>
      </c>
      <c r="M350" s="61" t="e">
        <f>L350/F350-1</f>
        <v>#REF!</v>
      </c>
      <c r="N350" s="61" t="e">
        <f>L350/I350-1</f>
        <v>#REF!</v>
      </c>
      <c r="Q350" s="127">
        <f>Q8+Q23+Q31+Q37+Q43+Q70+Q84+Q96+Q103+Q117+Q131+Q136+Q146+Q155+Q167+Q179+Q203+Q240+Q247+Q278+Q311+Q320+Q324+Q331+Q336+Q347+Q212</f>
        <v>4914400</v>
      </c>
      <c r="R350" s="127">
        <f>R8+R23+R31+R37+R43+R70+R84+R96+R103+R117+R131+R136+R146+R155+R167+R179+R203+R240+R247+R278+R311+R320+R324+R331+R336+R347+R212</f>
        <v>2486906</v>
      </c>
      <c r="S350" s="127">
        <f>S8+S23+S31+S37+S43+S70+S84+S96+S103+S117+S131+S136+S146+S155+S167+S179+S203+S240+S247+S278+S311+S320+S324+S331+S336+S347+S212</f>
        <v>4536500</v>
      </c>
      <c r="T350" s="127">
        <f>T8+T23+T31+T37+T43+T70+T84+T96+T103+T117+T131+T136+T146+T155+T167+T179+T203+T240+T247+T278+T311+T320+T324+T331+T336+T347</f>
        <v>-387400</v>
      </c>
      <c r="U350" s="155">
        <f>S350/Q350-1</f>
        <v>-7.6896467524011025E-2</v>
      </c>
      <c r="Y350" s="127">
        <f>Y8+Y23+Y31+Y37+Y43+Y70+Y84+Y96+Y103+Y117+Y131+Y136+Y146+Y155+Y167+Y179+Y203+Y240+Y247+Y278+Y311+Y320+Y324+Y331+Y336+Y347+Y212</f>
        <v>4572200</v>
      </c>
      <c r="Z350" s="127"/>
      <c r="AA350" s="127">
        <f>AA8+AA23+AA31+AA37+AA43+AA70+AA84+AA96+AA103+AA117+AA131+AA136+AA146+AA155+AA167+AA179+AA203+AA240+AA247+AA278+AA311+AA320+AA324+AA331+AA336+AA347+AA212</f>
        <v>4854900</v>
      </c>
      <c r="AB350" s="127">
        <f>AB8+AB23+AB31+AB37+AB43+AB70+AB84+AB96+AB103+AB117+AB131+AB136+AB146+AB155+AB167+AB179+AB203+AB240+AB247+AB278+AB311+AB320+AB324+AB331+AB336+AB347+AB212</f>
        <v>282700</v>
      </c>
      <c r="AE350" s="127">
        <f>AE8+AE23+AE31+AE37+AE43+AE70+AE84+AE96+AE103+AE117+AE131+AE136+AE146+AE155+AE167+AE179+AE203+AE240+AE247+AE278+AE311+AE320+AE324+AE331+AE336+AE347+AE212</f>
        <v>4954150</v>
      </c>
      <c r="AH350" s="127">
        <f>AH8+AH23+AH31+AH37+AH43+AH70+AH84+AH96+AH103+AH117+AH131+AH136+AH146+AH155+AH167+AH179+AH203+AH240+AH247+AH278+AH311+AH320+AH324+AH331+AH336+AH347+AH212</f>
        <v>4665142.3800000008</v>
      </c>
      <c r="AI350" s="17">
        <f t="shared" ref="AI350:AI351" si="1709">AH350/AE350</f>
        <v>0.94166353057537633</v>
      </c>
      <c r="AK350" s="127">
        <f>AK8+AK23+AK31+AK37+AK43+AK70+AK84+AK96+AK103+AK117+AK131+AK136+AK146+AK155+AK167+AK179+AK203+AK240+AK247+AK278+AK311+AK320+AK324+AK331+AK336+AK347+AK212</f>
        <v>4265000</v>
      </c>
      <c r="AL350" s="193">
        <f t="shared" ref="AL350:AL351" si="1710">AK350/L350</f>
        <v>0.98955918310086655</v>
      </c>
      <c r="AM350" s="17">
        <f t="shared" ref="AM350:AM351" si="1711">AK350/AE350</f>
        <v>0.86089440166325204</v>
      </c>
      <c r="AN350" s="17">
        <f t="shared" ref="AN350:AN351" si="1712">AK350/AH350</f>
        <v>0.91422718806708725</v>
      </c>
      <c r="AR350" s="127">
        <f>AR8+AR23+AR31+AR37+AR43+AR70+AR84+AR96+AR103+AR117+AR131+AR136+AR146+AR155+AR167+AR179+AR203+AR240+AR247+AR278+AR311+AR320+AR324+AR331+AR336+AR347+AR212</f>
        <v>100000</v>
      </c>
      <c r="AS350" s="127">
        <f>AS8+AS23+AS31+AS37+AS43+AS70+AS84+AS96+AS103+AS117+AS131+AS136+AS146+AS155+AS167+AS179+AS203+AS240+AS247+AS278+AS311+AS320+AS324+AS331+AS336+AS347+AS212</f>
        <v>4365000</v>
      </c>
      <c r="AU350" s="127">
        <f>AU8+AU23+AU31+AU37+AU43+AU70+AU84+AU96+AU103+AU117+AU131+AU136+AU146+AU155+AU167+AU179+AU203+AU240+AU247+AU278+AU311+AU320+AU324+AU331+AU336+AU347+AU212+AU216</f>
        <v>150300</v>
      </c>
      <c r="AV350" s="127">
        <f>AV8+AV23+AV31+AV37+AV43+AV70+AV84+AV96+AV103+AV117+AV131+AV136+AV146+AV155+AV167+AV179+AV203+AV240+AV247+AV278+AV311+AV320+AV324+AV331+AV336+AV347+AV212+AV216</f>
        <v>4515300</v>
      </c>
      <c r="AX350" s="127">
        <f>AX8+AX23+AX31+AX37+AX43+AX70+AX84+AX96+AX103+AX117+AX131+AX136+AX146+AX155+AX167+AX179+AX203+AX240+AX247+AX278+AX311+AX320+AX324+AX331+AX336+AX347+AX212+AX216</f>
        <v>49297.26</v>
      </c>
      <c r="AY350" s="127">
        <f>AY8+AY23+AY31+AY37+AY43+AY70+AY84+AY96+AY103+AY117+AY131+AY136+AY146+AY155+AY167+AY179+AY203+AY240+AY247+AY278+AY311+AY320+AY324+AY331+AY336+AY347+AY212+AY216</f>
        <v>4564597.26</v>
      </c>
      <c r="BA350" s="127">
        <f>BA8+BA23+BA31+BA37+BA43+BA70+BA84+BA96+BA103+BA117+BA131+BA136+BA146+BA155+BA167+BA179+BA203+BA240+BA247+BA278+BA311+BA320+BA324+BA331+BA336+BA347+BA212+BA216</f>
        <v>0</v>
      </c>
      <c r="BB350" s="127">
        <f>BB8+BB23+BB31+BB37+BB43+BB70+BB84+BB96+BB103+BB117+BB131+BB136+BB146+BB155+BB167+BB179+BB203+BB240+BB247+BB278+BB311+BB320+BB324+BB331+BB336+BB347+BB212+BB216</f>
        <v>4564597.26</v>
      </c>
      <c r="BD350" s="127">
        <f>BD8+BD23+BD31+BD37+BD43+BD70+BD84+BD96+BD103+BD117+BD131+BD136+BD146+BD155+BD167+BD179+BD203+BD240+BD247+BD278+BD311+BD320+BD324+BD331+BD336+BD347+BD212+BD216</f>
        <v>845803</v>
      </c>
      <c r="BE350" s="127">
        <f>BE8+BE23+BE31+BE37+BE43+BE70+BE84+BE96+BE103+BE117+BE131+BE136+BE146+BE155+BE167+BE179+BE203+BE240+BE247+BE278+BE311+BE320+BE324+BE331+BE336+BE347+BE212+BE216</f>
        <v>5410400.2599999998</v>
      </c>
      <c r="BG350" s="127">
        <f>BG8+BG23+BG31+BG37+BG43+BG70+BG84+BG96+BG103+BG117+BG131+BG136+BG146+BG155+BG167+BG179+BG203+BG240+BG247+BG278+BG311+BG320+BG324+BG331+BG336+BG347+BG212+BG216</f>
        <v>0</v>
      </c>
      <c r="BH350" s="127">
        <f>BH8+BH23+BH31+BH37+BH43+BH70+BH84+BH96+BH103+BH117+BH131+BH136+BH146+BH155+BH167+BH179+BH203+BH240+BH247+BH278+BH311+BH320+BH324+BH331+BH336+BH347+BH212+BH216</f>
        <v>5410400.2599999998</v>
      </c>
      <c r="BJ350" s="127">
        <f>BJ8+BJ23+BJ31+BJ37+BJ43+BJ70+BJ84+BJ96+BJ103+BJ117+BJ131+BJ136+BJ146+BJ155+BJ167+BJ179+BJ203+BJ240+BJ247+BJ278+BJ311+BJ320+BJ324+BJ331+BJ336+BJ347+BJ212+BJ216</f>
        <v>5053214.4800000004</v>
      </c>
      <c r="BK350" s="236">
        <f t="shared" ref="BK350:BK351" si="1713">BJ350/BH350</f>
        <v>0.93398163484488683</v>
      </c>
      <c r="BM350" s="127">
        <f>BM8+BM23+BM31+BM37+BM43+BM70+BM84+BM96+BM103+BM117+BM131+BM136+BM146+BM155+BM167+BM179+BM203+BM240+BM247+BM278+BM311+BM320+BM324+BM331+BM336+BM347+BM212+BM216+BM159</f>
        <v>7195600</v>
      </c>
      <c r="BN350" s="236">
        <f t="shared" ref="BN350" si="1714">BM350/BJ350</f>
        <v>1.4239648897705208</v>
      </c>
      <c r="BO350" s="236">
        <f t="shared" ref="BO350" si="1715">BM350/BH350</f>
        <v>1.3299570557095901</v>
      </c>
      <c r="BQ350" s="127">
        <f>BQ8+BQ23+BQ31+BQ37+BQ43+BQ70+BQ84+BQ96+BQ103+BQ117+BQ131+BQ136+BQ146+BQ155+BQ167+BQ179+BQ203+BQ240+BQ247+BQ278+BQ311+BQ320+BQ324+BQ331+BQ336+BQ347+BQ212+BQ216+BQ159+BQ214</f>
        <v>0</v>
      </c>
      <c r="BR350" s="127">
        <f>BR8+BR23+BR31+BR37+BR43+BR70+BR84+BR96+BR103+BR117+BR131+BR136+BR146+BR155+BR167+BR179+BR203+BR240+BR247+BR278+BR311+BR320+BR324+BR331+BR336+BR347+BR212+BR216+BR159+BR214</f>
        <v>7195600</v>
      </c>
      <c r="BT350" s="127">
        <f>BT8+BT23+BT31+BT37+BT43+BT70+BT84+BT96+BT103+BT117+BT131+BT136+BT146+BT155+BT167+BT179+BT203+BT240+BT247+BT278+BT311+BT320+BT324+BT331+BT336+BT347+BT212+BT216+BT159+BT214</f>
        <v>0</v>
      </c>
      <c r="BU350" s="127">
        <f>BU8+BU23+BU31+BU37+BU43+BU70+BU84+BU96+BU103+BU117+BU131+BU136+BU146+BU155+BU167+BU179+BU203+BU240+BU247+BU278+BU311+BU320+BU324+BU331+BU336+BU347+BU212+BU216+BU159+BU214</f>
        <v>7195600</v>
      </c>
      <c r="BW350" s="127">
        <f>BW8+BW23+BW31+BW37+BW43+BW70+BW84+BW96+BW103+BW117+BW131+BW136+BW146+BW155+BW167+BW179+BW203+BW240+BW247+BW278+BW311+BW320+BW324+BW331+BW336+BW347+BW212+BW216+BW159+BW214</f>
        <v>110366</v>
      </c>
      <c r="BX350" s="127">
        <f>BX8+BX23+BX31+BX37+BX43+BX70+BX84+BX96+BX103+BX117+BX131+BX136+BX146+BX155+BX167+BX179+BX203+BX240+BX247+BX278+BX311+BX320+BX324+BX331+BX336+BX347+BX212+BX216+BX159+BX214</f>
        <v>7305966</v>
      </c>
      <c r="BZ350" s="127">
        <f>BZ8+BZ23+BZ31+BZ37+BZ43+BZ70+BZ84+BZ96+BZ103+BZ117+BZ131+BZ136+BZ146+BZ155+BZ167+BZ179+BZ203+BZ240+BZ247+BZ278+BZ311+BZ320+BZ324+BZ331+BZ336+BZ347+BZ212+BZ216+BZ159+BZ214</f>
        <v>26000</v>
      </c>
      <c r="CA350" s="127">
        <f>CA8+CA23+CA31+CA37+CA43+CA70+CA84+CA96+CA103+CA117+CA131+CA136+CA146+CA155+CA167+CA179+CA203+CA240+CA247+CA278+CA311+CA320+CA324+CA331+CA336+CA347+CA212+CA216+CA159+CA214</f>
        <v>7331966</v>
      </c>
      <c r="CC350" s="127">
        <f>CC8+CC23+CC31+CC37+CC43+CC70+CC84+CC96+CC103+CC117+CC131+CC136+CC146+CC155+CC167+CC179+CC203+CC240+CC247+CC278+CC311+CC320+CC324+CC331+CC336+CC347+CC212+CC216+CC159+CC214</f>
        <v>241888.89</v>
      </c>
      <c r="CD350" s="127">
        <f>CD8+CD23+CD31+CD37+CD43+CD70+CD84+CD96+CD103+CD117+CD131+CD136+CD146+CD155+CD167+CD179+CD203+CD240+CD247+CD278+CD311+CD320+CD324+CD331+CD336+CD347+CD212+CD216+CD159+CD214</f>
        <v>7573854.8900000006</v>
      </c>
      <c r="CF350" s="127">
        <f>CF8+CF23+CF31+CF37+CF43+CF70+CF84+CF96+CF103+CF117+CF131+CF136+CF146+CF155+CF167+CF179+CF203+CF240+CF247+CF278+CF311+CF320+CF324+CF331+CF336+CF347+CF212+CF216+CF159+CF214</f>
        <v>0</v>
      </c>
      <c r="CG350" s="127">
        <f>CG8+CG23+CG31+CG37+CG43+CG70+CG84+CG96+CG103+CG117+CG131+CG136+CG146+CG155+CG167+CG179+CG203+CG240+CG247+CG278+CG311+CG320+CG324+CG331+CG336+CG347+CG212+CG216+CG159+CG214</f>
        <v>7573854.8900000006</v>
      </c>
      <c r="CI350" s="127">
        <f>CI8+CI23+CI31+CI37+CI43+CI70+CI84+CI96+CI103+CI117+CI131+CI136+CI146+CI155+CI167+CI179+CI203+CI240+CI247+CI278+CI311+CI320+CI324+CI331+CI336+CI347+CI212+CI216+CI159+CI214</f>
        <v>0</v>
      </c>
      <c r="CJ350" s="127">
        <f>CJ8+CJ23+CJ31+CJ37+CJ43+CJ70+CJ84+CJ96+CJ103+CJ117+CJ131+CJ136+CJ146+CJ155+CJ167+CJ179+CJ203+CJ240+CJ247+CJ278+CJ311+CJ320+CJ324+CJ331+CJ336+CJ347+CJ212+CJ216+CJ159+CJ214</f>
        <v>7573854.8900000006</v>
      </c>
      <c r="CL350" s="321">
        <f>CL8+CL23+CL31+CL37+CL43+CL70+CL84+CL96+CL103+CL117+CL131+CL136+CL146+CL155+CL167+CL179+CL203+CL240+CL247+CL278+CL311+CL320+CL324+CL331+CL336+CL347+CL212+CL216+CL159+CL214</f>
        <v>0</v>
      </c>
      <c r="CM350" s="127">
        <f>CM8+CM23+CM31+CM37+CM43+CM70+CM84+CM96+CM103+CM117+CM131+CM136+CM146+CM155+CM167+CM179+CM203+CM240+CM247+CM278+CM311+CM320+CM324+CM331+CM336+CM347+CM212+CM216+CM159+CM214</f>
        <v>7573854.8900000006</v>
      </c>
      <c r="CO350" s="127">
        <f>CO8+CO23+CO31+CO37+CO43+CO70+CO84+CO96+CO103+CO117+CO131+CO136+CO146+CO155+CO167+CO179+CO203+CO240+CO247+CO278+CO311+CO320+CO324+CO331+CO336+CO347+CO212+CO216+CO159+CO214</f>
        <v>152000</v>
      </c>
      <c r="CP350" s="127">
        <f>CP8+CP23+CP31+CP37+CP43+CP70+CP84+CP96+CP103+CP117+CP131+CP136+CP146+CP155+CP167+CP179+CP203+CP240+CP247+CP278+CP311+CP320+CP324+CP331+CP336+CP347+CP212+CP216+CP159+CP214</f>
        <v>7725854.8900000006</v>
      </c>
      <c r="CR350" s="127">
        <f>CR8+CR23+CR31+CR37+CR43+CR70+CR84+CR96+CR103+CR117+CR131+CR136+CR146+CR155+CR167+CR179+CR203+CR240+CR247+CR278+CR311+CR320+CR324+CR331+CR336+CR347+CR212+CR216+CR159+CR214</f>
        <v>0</v>
      </c>
      <c r="CS350" s="127">
        <f>CS8+CS23+CS31+CS37+CS43+CS70+CS84+CS96+CS103+CS117+CS131+CS136+CS146+CS155+CS167+CS179+CS203+CS240+CS247+CS278+CS311+CS320+CS324+CS331+CS336+CS347+CS212+CS216+CS159+CS214</f>
        <v>7725854.8900000006</v>
      </c>
      <c r="CU350" s="127">
        <f>CU8+CU23+CU31+CU37+CU43+CU70+CU84+CU96+CU103+CU117+CU131+CU136+CU146+CU155+CU167+CU179+CU203+CU240+CU247+CU278+CU311+CU320+CU324+CU331+CU336+CU347+CU212+CU216+CU159+CU214</f>
        <v>-246000</v>
      </c>
      <c r="CV350" s="127">
        <f>CV8+CV23+CV31+CV37+CV43+CV70+CV84+CV96+CV103+CV117+CV131+CV136+CV146+CV155+CV167+CV179+CV203+CV240+CV247+CV278+CV311+CV320+CV324+CV331+CV336+CV347+CV212+CV216+CV159+CV214</f>
        <v>7479854.8899999997</v>
      </c>
      <c r="CX350" s="127">
        <f>CX8+CX23+CX31+CX37+CX43+CX70+CX84+CX96+CX103+CX117+CX131+CX136+CX146+CX155+CX167+CX179+CX203+CX240+CX247+CX278+CX311+CX320+CX324+CX331+CX336+CX347+CX212+CX216+CX159+CX214</f>
        <v>0</v>
      </c>
      <c r="CY350" s="127">
        <f>CY8+CY23+CY31+CY37+CY43+CY70+CY84+CY96+CY103+CY117+CY131+CY136+CY146+CY155+CY167+CY179+CY203+CY240+CY247+CY278+CY311+CY320+CY324+CY331+CY336+CY347+CY212+CY216+CY159+CY214</f>
        <v>7479854.8899999997</v>
      </c>
      <c r="DA350" s="127">
        <f>DA8+DA23+DA31+DA37+DA43+DA70+DA84+DA96+DA103+DA117+DA131+DA136+DA146+DA155+DA167+DA179+DA203+DA240+DA247+DA278+DA311+DA320+DA324+DA331+DA336+DA347+DA212+DA216+DA159+DA214</f>
        <v>7594747.4400000004</v>
      </c>
      <c r="DC350" s="127">
        <f>DC8+DC23+DC31+DC37+DC43+DC70+DC84+DC96+DC103+DC117+DC131+DC136+DC146+DC155+DC167+DC179+DC203+DC240+DC247+DC278+DC311+DC320+DC324+DC331+DC336+DC347+DC212+DC216+DC159+DC214</f>
        <v>6251689.0999999996</v>
      </c>
      <c r="DE350" s="127">
        <f>DE316+DE8+DE23+DE31+DE37+DE43+DE70+DE84+DE96+DE103+DE117+DE131+DE136+DE146+DE155+DE167+DE179+DE203+DE240+DE247+DE278+DE311+DE320+DE324+DE331+DE336+DE347+DE212+DE216+DE159+DE214</f>
        <v>0</v>
      </c>
      <c r="DF350" s="127">
        <f>DF316+DF8+DF23+DF31+DF37+DF43+DF70+DF84+DF96+DF103+DF117+DF131+DF136+DF146+DF155+DF167+DF179+DF203+DF240+DF247+DF278+DF311+DF320+DF324+DF331+DF336+DF347+DF212+DF216+DF159+DF214</f>
        <v>6251689.0999999996</v>
      </c>
      <c r="DH350" s="127">
        <f>DH316+DH8+DH23+DH31+DH37+DH43+DH70+DH84+DH96+DH103+DH117+DH131+DH136+DH146+DH155+DH167+DH179+DH203+DH240+DH247+DH278+DH311+DH320+DH324+DH331+DH336+DH347+DH212+DH216+DH159+DH214</f>
        <v>57325</v>
      </c>
      <c r="DI350" s="127">
        <f>DI316+DI8+DI23+DI31+DI37+DI43+DI70+DI84+DI96+DI103+DI117+DI131+DI136+DI146+DI155+DI167+DI179+DI203+DI240+DI247+DI278+DI311+DI320+DI324+DI331+DI336+DI347+DI212+DI216+DI159+DI214</f>
        <v>6309014.0999999996</v>
      </c>
      <c r="DK350" s="127">
        <f>DK316+DK8+DK23+DK31+DK37+DK43+DK70+DK84+DK96+DK103+DK117+DK131+DK136+DK146+DK155+DK167+DK179+DK203+DK240+DK247+DK278+DK311+DK320+DK324+DK331+DK336+DK347+DK212+DK216+DK159+DK214</f>
        <v>249450</v>
      </c>
      <c r="DL350" s="127">
        <f>DL316+DL8+DL23+DL31+DL37+DL43+DL70+DL84+DL96+DL103+DL117+DL131+DL136+DL146+DL155+DL167+DL179+DL203+DL240+DL247+DL278+DL311+DL320+DL324+DL331+DL336+DL347+DL212+DL216+DL159+DL214</f>
        <v>6558464.0999999996</v>
      </c>
      <c r="DN350" s="127">
        <f>DN316+DN8+DN23+DN31+DN37+DN43+DN70+DN84+DN96+DN103+DN117+DN131+DN136+DN146+DN155+DN167+DN179+DN203+DN240+DN247+DN278+DN311+DN320+DN324+DN331+DN336+DN347+DN212+DN216+DN159+DN214</f>
        <v>0</v>
      </c>
      <c r="DO350" s="127">
        <f>DO316+DO8+DO23+DO31+DO37+DO43+DO70+DO84+DO96+DO103+DO117+DO131+DO136+DO146+DO155+DO167+DO179+DO203+DO240+DO247+DO278+DO311+DO320+DO324+DO331+DO336+DO347+DO212+DO216+DO159+DO214</f>
        <v>6558464.0999999996</v>
      </c>
      <c r="DQ350" s="127">
        <f>DQ316+DQ8+DQ23+DQ31+DQ37+DQ43+DQ70+DQ84+DQ96+DQ103+DQ117+DQ131+DQ136+DQ146+DQ155+DQ167+DQ179+DQ203+DQ240+DQ247+DQ278+DQ311+DQ320+DQ324+DQ331+DQ336+DQ347+DQ212+DQ216+DQ159+DQ214</f>
        <v>116300</v>
      </c>
      <c r="DR350" s="127">
        <f>DR316+DR8+DR23+DR31+DR37+DR43+DR70+DR84+DR96+DR103+DR117+DR131+DR136+DR146+DR155+DR167+DR179+DR203+DR240+DR247+DR278+DR311+DR320+DR324+DR331+DR336+DR347+DR212+DR216+DR159+DR214</f>
        <v>6674764.0999999996</v>
      </c>
      <c r="DT350" s="127">
        <f>DT316+DT8+DT23+DT31+DT37+DT43+DT70+DT84+DT96+DT103+DT117+DT131+DT136+DT146+DT155+DT167+DT179+DT203+DT240+DT247+DT278+DT311+DT320+DT324+DT331+DT336+DT347+DT212+DT216+DT159+DT214</f>
        <v>101900</v>
      </c>
      <c r="DU350" s="127">
        <f>DU316+DU8+DU23+DU31+DU37+DU43+DU70+DU84+DU96+DU103+DU117+DU131+DU136+DU146+DU155+DU167+DU179+DU203+DU240+DU247+DU278+DU311+DU320+DU324+DU331+DU336+DU347+DU212+DU216+DU159+DU214</f>
        <v>6776664.0999999996</v>
      </c>
      <c r="DW350" s="127">
        <f>DW316+DW8+DW23+DW31+DW37+DW43+DW70+DW84+DW96+DW103+DW117+DW131+DW136+DW146+DW155+DW167+DW179+DW203+DW240+DW247+DW278+DW311+DW320+DW324+DW331+DW336+DW347+DW212+DW216+DW159+DW214</f>
        <v>286100</v>
      </c>
      <c r="DX350" s="127">
        <f>DX316+DX8+DX23+DX31+DX37+DX43+DX70+DX84+DX96+DX103+DX117+DX131+DX136+DX146+DX155+DX167+DX179+DX203+DX240+DX247+DX278+DX311+DX320+DX324+DX331+DX336+DX347+DX212+DX216+DX159+DX214</f>
        <v>7062764.0999999996</v>
      </c>
      <c r="DZ350" s="127">
        <f>DZ316+DZ8+DZ23+DZ31+DZ37+DZ43+DZ70+DZ84+DZ96+DZ103+DZ117+DZ131+DZ136+DZ146+DZ155+DZ167+DZ179+DZ203+DZ240+DZ247+DZ278+DZ311+DZ320+DZ324+DZ331+DZ336+DZ347+DZ212+DZ216+DZ159+DZ214+DZ100</f>
        <v>0</v>
      </c>
      <c r="EA350" s="127">
        <f>EA316+EA8+EA23+EA31+EA37+EA43+EA70+EA84+EA96+EA103+EA117+EA131+EA136+EA146+EA155+EA167+EA179+EA203+EA240+EA247+EA278+EA311+EA320+EA324+EA331+EA336+EA347+EA212+EA216+EA159+EA214+EA100</f>
        <v>7062764.0999999996</v>
      </c>
      <c r="EC350" s="127">
        <f>EC316+EC8+EC23+EC31+EC37+EC43+EC70+EC84+EC96+EC103+EC117+EC131+EC136+EC146+EC155+EC167+EC179+EC203+EC240+EC247+EC278+EC311+EC320+EC324+EC331+EC336+EC347+EC212+EC216+EC159+EC214+EC100</f>
        <v>18300</v>
      </c>
      <c r="ED350" s="127">
        <f>ED316+ED8+ED23+ED31+ED37+ED43+ED70+ED84+ED96+ED103+ED117+ED131+ED136+ED146+ED155+ED167+ED179+ED203+ED240+ED247+ED278+ED311+ED320+ED324+ED331+ED336+ED347+ED212+ED216+ED159+ED214+ED100</f>
        <v>7081064.0999999996</v>
      </c>
      <c r="EF350" s="127">
        <f>EF316+EF8+EF23+EF31+EF37+EF43+EF70+EF84+EF96+EF103+EF117+EF131+EF136+EF146+EF155+EF167+EF179+EF203+EF240+EF247+EF278+EF311+EF320+EF324+EF331+EF336+EF347+EF212+EF216+EF159+EF214+EF100</f>
        <v>-3905</v>
      </c>
      <c r="EG350" s="127">
        <f>EG316+EG8+EG23+EG31+EG37+EG43+EG70+EG84+EG96+EG103+EG117+EG131+EG136+EG146+EG155+EG167+EG179+EG203+EG240+EG247+EG278+EG311+EG320+EG324+EG331+EG336+EG347+EG212+EG216+EG159+EG214+EG100</f>
        <v>7077159.0999999996</v>
      </c>
      <c r="EI350" s="127">
        <f>EI316+EI8+EI23+EI31+EI37+EI43+EI70+EI84+EI96+EI103+EI117+EI131+EI136+EI146+EI155+EI167+EI179+EI203+EI240+EI247+EI278+EI311+EI320+EI324+EI331+EI336+EI347+EI212+EI216+EI159+EI214+EI100</f>
        <v>6909647.4500000002</v>
      </c>
      <c r="EK350" s="127">
        <f>EK316+EK8+EK23+EK31+EK37+EK43+EK70+EK84+EK96+EK103+EK117+EK131+EK136+EK146+EK155+EK167+EK179+EK203+EK240+EK247+EK278+EK311+EK320+EK324+EK331+EK336+EK347+EK212+EK216+EK159+EK214+EK100</f>
        <v>5939880.0999999996</v>
      </c>
      <c r="EM350" s="127">
        <f>EM316+EM8+EM23+EM31+EM37+EM43+EM70+EM84+EM96+EM103+EM117+EM131+EM136+EM146+EM155+EM167+EM179+EM203+EM240+EM247+EM278+EM311+EM320+EM324+EM331+EM336+EM347+EM212+EM216+EM159+EM214+EM100</f>
        <v>70380</v>
      </c>
      <c r="EN350" s="127">
        <f>EN316+EN8+EN23+EN31+EN37+EN43+EN70+EN84+EN96+EN103+EN117+EN131+EN136+EN146+EN155+EN167+EN179+EN203+EN240+EN247+EN278+EN311+EN320+EN324+EN331+EN336+EN347+EN212+EN216+EN159+EN214+EN100</f>
        <v>6010260.0999999996</v>
      </c>
      <c r="EP350" s="127">
        <f>EP316+EP8+EP23+EP31+EP37+EP43+EP70+EP84+EP96+EP103+EP117+EP131+EP136+EP146+EP155+EP167+EP179+EP203+EP240+EP247+EP278+EP311+EP320+EP324+EP331+EP336+EP347+EP212+EP216+EP159+EP214+EP100</f>
        <v>182700</v>
      </c>
      <c r="EQ350" s="127">
        <f>EQ316+EQ8+EQ23+EQ31+EQ37+EQ43+EQ70+EQ84+EQ96+EQ103+EQ117+EQ131+EQ136+EQ146+EQ155+EQ167+EQ179+EQ203+EQ240+EQ247+EQ278+EQ311+EQ320+EQ324+EQ331+EQ336+EQ347+EQ212+EQ216+EQ159+EQ214+EQ100</f>
        <v>6192960.0999999996</v>
      </c>
      <c r="ES350" s="127">
        <f>ES316+ES8+ES23+ES31+ES37+ES43+ES70+ES84+ES96+ES103+ES117+ES131+ES136+ES146+ES155+ES167+ES179+ES203+ES240+ES247+ES278+ES311+ES320+ES324+ES331+ES336+ES347+ES212+ES216+ES159+ES214+ES100</f>
        <v>0</v>
      </c>
      <c r="ET350" s="127">
        <f>ET316+ET8+ET23+ET31+ET37+ET43+ET70+ET84+ET96+ET103+ET117+ET131+ET136+ET146+ET155+ET167+ET179+ET203+ET240+ET247+ET278+ET311+ET320+ET324+ET331+ET336+ET347+ET212+ET216+ET159+ET214+ET100</f>
        <v>6192960.0999999996</v>
      </c>
      <c r="EV350" s="127">
        <f>EV316+EV8+EV23+EV31+EV37+EV43+EV70+EV84+EV96+EV103+EV117+EV131+EV136+EV146+EV155+EV167+EV179+EV203+EV240+EV247+EV278+EV311+EV320+EV324+EV331+EV336+EV347+EV212+EV216+EV159+EV214+EV100</f>
        <v>0</v>
      </c>
      <c r="EW350" s="127">
        <f>EW316+EW8+EW23+EW31+EW37+EW43+EW70+EW84+EW96+EW103+EW117+EW131+EW136+EW146+EW155+EW167+EW179+EW203+EW240+EW247+EW278+EW311+EW320+EW324+EW331+EW336+EW347+EW212+EW216+EW159+EW214+EW100</f>
        <v>6192960.0999999996</v>
      </c>
      <c r="EY350" s="127">
        <f>EY316+EY8+EY23+EY31+EY37+EY43+EY70+EY84+EY96+EY103+EY117+EY131+EY136+EY146+EY155+EY167+EY179+EY203+EY240+EY247+EY278+EY311+EY320+EY324+EY331+EY336+EY347+EY212+EY216+EY159+EY214+EY100+EY10</f>
        <v>0</v>
      </c>
      <c r="EZ350" s="127">
        <f>EZ316+EZ8+EZ23+EZ31+EZ37+EZ43+EZ70+EZ84+EZ96+EZ103+EZ117+EZ131+EZ136+EZ146+EZ155+EZ167+EZ179+EZ203+EZ240+EZ247+EZ278+EZ311+EZ320+EZ324+EZ331+EZ336+EZ347+EZ212+EZ216+EZ159+EZ214+EZ100+EZ10</f>
        <v>6192960.0999999996</v>
      </c>
      <c r="FB350" s="127">
        <f>FB316+FB8+FB23+FB31+FB37+FB43+FB70+FB84+FB96+FB103+FB117+FB131+FB136+FB146+FB155+FB167+FB179+FB203+FB240+FB247+FB278+FB311+FB320+FB324+FB331+FB336+FB347+FB212+FB216+FB159+FB214+FB100+FB10</f>
        <v>-13000</v>
      </c>
      <c r="FC350" s="127">
        <f>FC316+FC8+FC23+FC31+FC37+FC43+FC70+FC84+FC96+FC103+FC117+FC131+FC136+FC146+FC155+FC167+FC179+FC203+FC240+FC247+FC278+FC311+FC320+FC324+FC331+FC336+FC347+FC212+FC216+FC159+FC214+FC100+FC10</f>
        <v>6179960.0999999996</v>
      </c>
      <c r="FE350" s="127">
        <f>FE316+FE8+FE23+FE31+FE37+FE43+FE70+FE84+FE96+FE103+FE117+FE131+FE136+FE146+FE155+FE167+FE179+FE203+FE240+FE247+FE278+FE311+FE320+FE324+FE331+FE336+FE347+FE212+FE216+FE159+FE214+FE100+FE10</f>
        <v>0</v>
      </c>
      <c r="FF350" s="127">
        <f>FF316+FF8+FF23+FF31+FF37+FF43+FF70+FF84+FF96+FF103+FF117+FF131+FF136+FF146+FF155+FF167+FF179+FF203+FF240+FF247+FF278+FF311+FF320+FF324+FF331+FF336+FF347+FF212+FF216+FF159+FF214+FF100+FF10</f>
        <v>6156460.0999999996</v>
      </c>
      <c r="FH350" s="127">
        <f>FH316+FH8+FH23+FH31+FH37+FH43+FH70+FH84+FH96+FH103+FH117+FH131+FH136+FH146+FH155+FH167+FH179+FH203+FH240+FH247+FH278+FH311+FH320+FH324+FH331+FH336+FH347+FH212+FH216+FH159+FH214+FH100+FH10</f>
        <v>0</v>
      </c>
      <c r="FI350" s="127">
        <f>FI316+FI8+FI23+FI31+FI37+FI43+FI70+FI84+FI96+FI103+FI117+FI131+FI136+FI146+FI155+FI167+FI179+FI203+FI240+FI247+FI278+FI311+FI320+FI324+FI331+FI336+FI347+FI212+FI216+FI159+FI214+FI100+FI10</f>
        <v>6179960.0999999996</v>
      </c>
      <c r="FK350" s="127">
        <f>FK316+FK8+FK23+FK31+FK37+FK43+FK70+FK84+FK96+FK103+FK117+FK131+FK136+FK146+FK155+FK167+FK179+FK203+FK240+FK247+FK278+FK311+FK320+FK324+FK331+FK336+FK347+FK212+FK216+FK159+FK214+FK100+FK10</f>
        <v>-91519</v>
      </c>
      <c r="FL350" s="127">
        <f>FL316+FL8+FL23+FL31+FL37+FL43+FL70+FL84+FL96+FL103+FL117+FL131+FL136+FL146+FL155+FL167+FL179+FL203+FL240+FL247+FL278+FL311+FL320+FL324+FL331+FL336+FL347+FL212+FL216+FL159+FL214+FL100+FL10</f>
        <v>6088441.0999999996</v>
      </c>
      <c r="FN350" s="127">
        <f>FN316+FN8+FN23+FN31+FN37+FN43+FN70+FN84+FN96+FN103+FN117+FN131+FN136+FN146+FN155+FN167+FN179+FN203+FN240+FN247+FN278+FN311+FN320+FN324+FN331+FN336+FN347+FN212+FN216+FN159+FN214+FN100+FN10</f>
        <v>0</v>
      </c>
      <c r="FO350" s="127">
        <f>FO316+FO8+FO23+FO31+FO37+FO43+FO70+FO84+FO96+FO103+FO117+FO131+FO136+FO146+FO155+FO167+FO179+FO203+FO240+FO247+FO278+FO311+FO320+FO324+FO331+FO336+FO347+FO212+FO216+FO159+FO214+FO100+FO10</f>
        <v>6088441.0999999996</v>
      </c>
      <c r="FQ350" s="127">
        <v>0</v>
      </c>
      <c r="FR350" s="127">
        <v>6088441.0999999996</v>
      </c>
      <c r="FT350" s="127">
        <f>FT316+FT8+FT23+FT31+FT37+FT43+FT70+FT84+FT96+FT103+FT117+FT131+FT136+FT146+FT155+FT167+FT179+FT203+FT240+FT247+FT278+FT311+FT320+FT324+FT331+FT336+FT347+FT212+FT216+FT159+FT214+FT100+FT10</f>
        <v>5823835.5100000016</v>
      </c>
      <c r="FV350" s="127">
        <f>FV316+FV8+FV23+FV31+FV37+FV43+FV70+FV84+FV96+FV103+FV117+FV131+FV136+FV146+FV155+FV167+FV179+FV203+FV240+FV247+FV278+FV311+FV320+FV324+FV331+FV336+FV347+FV212+FV216+FV159+FV214+FV100+FV10</f>
        <v>5989469.4000000004</v>
      </c>
      <c r="FW350" s="235">
        <f t="shared" ref="FW350:FW351" si="1716">FV350/FT350</f>
        <v>1.0284406882226655</v>
      </c>
      <c r="FY350" s="127">
        <f>FY316+FY8+FY23+FY31+FY37+FY43+FY70+FY84+FY96+FY103+FY117+FY131+FY136+FY146+FY155+FY167+FY179+FY203+FY240+FY247+FY278+FY311+FY320+FY324+FY331+FY336+FY347+FY212+FY216+FY159+FY214+FY100+FY10</f>
        <v>0</v>
      </c>
      <c r="FZ350" s="127">
        <f>FZ316+FZ8+FZ23+FZ31+FZ37+FZ43+FZ70+FZ84+FZ96+FZ103+FZ117+FZ131+FZ136+FZ146+FZ155+FZ167+FZ179+FZ203+FZ240+FZ247+FZ278+FZ311+FZ320+FZ324+FZ331+FZ336+FZ347+FZ212+FZ216+FZ159+FZ214+FZ100+FZ10</f>
        <v>5989469.4000000004</v>
      </c>
      <c r="GB350" s="127">
        <f>GB316+GB8+GB23+GB31+GB37+GB43+GB70+GB84+GB96+GB103+GB117+GB131+GB136+GB146+GB155+GB167+GB179+GB203+GB240+GB247+GB278+GB311+GB320+GB324+GB331+GB336+GB347+GB212+GB216+GB159+GB214+GB100+GB10</f>
        <v>0</v>
      </c>
      <c r="GC350" s="127">
        <f>GC316+GC8+GC23+GC31+GC37+GC43+GC70+GC84+GC96+GC103+GC117+GC131+GC136+GC146+GC155+GC167+GC179+GC203+GC240+GC247+GC278+GC311+GC320+GC324+GC331+GC336+GC347+GC212+GC216+GC159+GC214+GC100+GC10</f>
        <v>5989469.4000000004</v>
      </c>
      <c r="GE350" s="127">
        <f>GE316+GE8+GE23+GE31+GE37+GE43+GE70+GE84+GE96+GE103+GE117+GE131+GE136+GE146+GE155+GE167+GE179+GE203+GE240+GE247+GE278+GE311+GE320+GE324+GE331+GE336+GE347+GE212+GE216+GE159+GE214+GE100+GE10</f>
        <v>745126</v>
      </c>
      <c r="GF350" s="127">
        <f>GF316+GF8+GF23+GF31+GF37+GF43+GF70+GF84+GF96+GF103+GF117+GF131+GF136+GF146+GF155+GF167+GF179+GF203+GF240+GF247+GF278+GF311+GF320+GF324+GF331+GF336+GF347+GF212+GF216+GF159+GF214+GF100+GF10</f>
        <v>6734595.4000000004</v>
      </c>
      <c r="GH350" s="127">
        <f>GH316+GH8+GH23+GH31+GH37+GH43+GH70+GH84+GH96+GH103+GH117+GH131+GH136+GH146+GH155+GH167+GH179+GH203+GH240+GH247+GH278+GH311+GH320+GH324+GH331+GH336+GH347+GH212+GH216+GH159+GH214+GH100+GH10</f>
        <v>0</v>
      </c>
      <c r="GI350" s="127">
        <f>GI316+GI8+GI23+GI31+GI37+GI43+GI70+GI84+GI96+GI103+GI117+GI131+GI136+GI146+GI155+GI167+GI179+GI203+GI240+GI247+GI278+GI311+GI320+GI324+GI331+GI336+GI347+GI212+GI216+GI159+GI214+GI100+GI10</f>
        <v>6734595.4000000004</v>
      </c>
      <c r="GK350" s="127">
        <f>GK316+GK8+GK23+GK31+GK37+GK43+GK70+GK84+GK96+GK103+GK117+GK131+GK136+GK146+GK155+GK167+GK179+GK203+GK240+GK247+GK278+GK311+GK320+GK324+GK331+GK336+GK347+GK212+GK216+GK159+GK214+GK100+GK10</f>
        <v>0</v>
      </c>
      <c r="GL350" s="127">
        <f>GL316+GL8+GL23+GL31+GL37+GL43+GL70+GL84+GL96+GL103+GL117+GL131+GL136+GL146+GL155+GL167+GL179+GL203+GL240+GL247+GL278+GL311+GL320+GL324+GL331+GL336+GL347+GL212+GL216+GL159+GL214+GL100+GL10</f>
        <v>6734595.4000000004</v>
      </c>
      <c r="GN350" s="127">
        <f>GN316+GN8+GN23+GN31+GN37+GN43+GN70+GN84+GN96+GN103+GN117+GN131+GN136+GN146+GN155+GN167+GN179+GN203+GN240+GN247+GN278+GN311+GN320+GN324+GN331+GN336+GN347+GN212+GN216+GN159+GN214+GN100+GN10</f>
        <v>0</v>
      </c>
      <c r="GO350" s="127">
        <f>GO316+GO8+GO23+GO31+GO37+GO43+GO70+GO84+GO96+GO103+GO117+GO131+GO136+GO146+GO155+GO167+GO179+GO203+GO240+GO247+GO278+GO311+GO320+GO324+GO331+GO336+GO347+GO212+GO216+GO159+GO214+GO100+GO10</f>
        <v>6734595.4000000004</v>
      </c>
      <c r="GQ350" s="127">
        <f>GQ316+GQ8+GQ23+GQ31+GQ37+GQ43+GQ70+GQ84+GQ96+GQ103+GQ117+GQ131+GQ136+GQ146+GQ155+GQ167+GQ179+GQ203+GQ240+GQ247+GQ278+GQ311+GQ320+GQ324+GQ331+GQ336+GQ347+GQ212+GQ216+GQ159+GQ214+GQ100+GQ10</f>
        <v>-169850</v>
      </c>
      <c r="GR350" s="127">
        <f>GR316+GR8+GR23+GR31+GR37+GR43+GR70+GR84+GR96+GR103+GR117+GR131+GR136+GR146+GR155+GR167+GR179+GR203+GR240+GR247+GR278+GR311+GR320+GR324+GR331+GR336+GR347+GR212+GR216+GR159+GR214+GR100+GR10</f>
        <v>6564745.4000000004</v>
      </c>
      <c r="GT350" s="127">
        <f>GT316+GT8+GT23+GT31+GT37+GT43+GT70+GT84+GT96+GT103+GT117+GT131+GT136+GT146+GT155+GT167+GT179+GT203+GT240+GT247+GT278+GT311+GT320+GT324+GT331+GT336+GT347+GT212+GT216+GT159+GT214+GT100+GT10</f>
        <v>-0.39999999999417923</v>
      </c>
      <c r="GU350" s="127">
        <f>GU316+GU8+GU23+GU31+GU37+GU43+GU70+GU84+GU96+GU103+GU117+GU131+GU136+GU146+GU155+GU167+GU179+GU203+GU240+GU247+GU278+GU311+GU320+GU324+GU331+GU336+GU347+GU212+GU216+GU159+GU214+GU100+GU10</f>
        <v>6564745</v>
      </c>
      <c r="GW350" s="127">
        <f>GW316+GW8+GW23+GW31+GW37+GW43+GW70+GW84+GW96+GW103+GW117+GW131+GW136+GW146+GW155+GW167+GW179+GW203+GW240+GW247+GW278+GW311+GW320+GW324+GW331+GW336+GW347+GW212+GW216+GW159+GW214+GW100+GW10</f>
        <v>-0.2000000000007276</v>
      </c>
      <c r="GX350" s="127">
        <f>GX316+GX8+GX23+GX31+GX37+GX43+GX70+GX84+GX96+GX103+GX117+GX131+GX136+GX146+GX155+GX167+GX179+GX203+GX240+GX247+GX278+GX311+GX320+GX324+GX331+GX336+GX347+GX212+GX216+GX159+GX214+GX100+GX10</f>
        <v>6564744.7999999998</v>
      </c>
      <c r="GZ350" s="127">
        <f>GZ316+GZ8+GZ23+GZ31+GZ37+GZ43+GZ70+GZ84+GZ96+GZ103+GZ117+GZ131+GZ136+GZ146+GZ155+GZ167+GZ179+GZ203+GZ240+GZ247+GZ278+GZ311+GZ320+GZ324+GZ331+GZ336+GZ347+GZ212+GZ216+GZ159+GZ214+GZ100+GZ10</f>
        <v>-206500</v>
      </c>
      <c r="HA350" s="438">
        <f>HA316+HA8+HA23+HA31+HA37+HA43+HA70+HA84+HA96+HA103+HA117+HA131+HA136+HA146+HA155+HA167+HA179+HA203+HA240+HA247+HA278+HA311+HA320+HA324+HA331+HA336+HA347+HA212+HA216+HA159+HA214+HA100+HA10</f>
        <v>6358244.7999999998</v>
      </c>
      <c r="HC350" s="127">
        <f>HC316+HC8+HC23+HC31+HC37+HC43+HC70+HC84+HC96+HC103+HC117+HC131+HC136+HC146+HC155+HC167+HC179+HC203+HC240+HC247+HC278+HC311+HC320+HC324+HC331+HC336+HC347+HC212+HC216+HC159+HC214+HC100+HC10</f>
        <v>5693416.6100000003</v>
      </c>
      <c r="HE350" s="127">
        <f>HE316+HE8+HE23+HE31+HE37+HE43+HE70+HE84+HE96+HE103+HE117+HE131+HE136+HE146+HE155+HE167+HE179+HE203+HE240+HE247+HE278+HE311+HE320+HE324+HE331+HE336+HE347+HE212+HE216+HE159+HE214+HE100+HE10</f>
        <v>9160974</v>
      </c>
      <c r="HF350" s="235">
        <f>HE350/HC350</f>
        <v>1.6090468391000108</v>
      </c>
    </row>
    <row r="351" spans="1:214" ht="16.5" thickTop="1" thickBot="1">
      <c r="A351" s="71"/>
      <c r="B351" s="72" t="s">
        <v>357</v>
      </c>
      <c r="C351" s="287" t="s">
        <v>318</v>
      </c>
      <c r="D351" s="73">
        <f>D24+D97+D118+D132+D147+D156+D204+D241+D312</f>
        <v>895000</v>
      </c>
      <c r="E351" s="74"/>
      <c r="F351" s="73">
        <f>F24+F97+F118+F132+F147+F156+F204+F241+F312</f>
        <v>777393</v>
      </c>
      <c r="G351" s="74"/>
      <c r="H351" s="73"/>
      <c r="I351" s="73">
        <f>I24+I97+I118+I132+I147+I156+I204+I241+I312</f>
        <v>159585</v>
      </c>
      <c r="J351" s="71"/>
      <c r="K351" s="71"/>
      <c r="L351" s="128">
        <f>L24+L97+L118+L132+L147+L156+L204+L241+L312</f>
        <v>446000</v>
      </c>
      <c r="M351" s="70">
        <f>L351/F351-1</f>
        <v>-0.42628760485365835</v>
      </c>
      <c r="N351" s="70">
        <f>L351/I351-1</f>
        <v>1.7947488799072593</v>
      </c>
      <c r="Q351" s="128">
        <f>Q24+Q97+Q118+Q132+Q147+Q156+Q204+Q241+Q312</f>
        <v>810000</v>
      </c>
      <c r="R351" s="128">
        <f>R24+R97+R118+R132+R147+R156+R204+R241+R312</f>
        <v>621154</v>
      </c>
      <c r="S351" s="128">
        <f>S24+S97+S118+S132+S147+S156+S204+S241+S312</f>
        <v>874000</v>
      </c>
      <c r="T351" s="128">
        <f>T24+T97+T118+T132+T147+T156+T204+T241+T312</f>
        <v>64000</v>
      </c>
      <c r="U351" s="155">
        <f>S351/Q351-1</f>
        <v>7.9012345679012386E-2</v>
      </c>
      <c r="Y351" s="128">
        <f>Y24+Y97+Y118+Y132+Y147+Y156+Y204+Y241+Y312</f>
        <v>874000</v>
      </c>
      <c r="Z351" s="128"/>
      <c r="AA351" s="128">
        <f>AA24+AA97+AA118+AA132+AA147+AA156+AA204+AA241+AA312</f>
        <v>903850</v>
      </c>
      <c r="AB351" s="128">
        <f>AB24+AB97+AB118+AB132+AB147+AB156+AB204+AB241+AB312</f>
        <v>29850</v>
      </c>
      <c r="AE351" s="128">
        <f>AE24+AE97+AE118+AE132+AE147+AE156+AE204+AE241+AE312</f>
        <v>935250</v>
      </c>
      <c r="AH351" s="128">
        <f>AH24+AH97+AH118+AH132+AH147+AH156+AH204+AH241+AH312</f>
        <v>897748.58000000007</v>
      </c>
      <c r="AI351" s="17">
        <f t="shared" si="1709"/>
        <v>0.95990225073509761</v>
      </c>
      <c r="AK351" s="128">
        <f>AK24+AK97+AK118+AK132+AK147+AK156+AK204+AK241+AK312</f>
        <v>400000</v>
      </c>
      <c r="AL351" s="193">
        <f t="shared" si="1710"/>
        <v>0.89686098654708524</v>
      </c>
      <c r="AM351" s="17">
        <f t="shared" si="1711"/>
        <v>0.42769313017909649</v>
      </c>
      <c r="AN351" s="17">
        <f t="shared" si="1712"/>
        <v>0.44555904505022997</v>
      </c>
      <c r="AR351" s="128">
        <f>AR24+AR97+AR118+AR132+AR147+AR156+AR204+AR241+AR312</f>
        <v>0</v>
      </c>
      <c r="AS351" s="128">
        <f>AS24+AS97+AS118+AS132+AS147+AS156+AS204+AS241+AS312</f>
        <v>400000</v>
      </c>
      <c r="AU351" s="128">
        <f>AU24+AU97+AU118+AU132+AU147+AU156+AU204+AU241+AU312</f>
        <v>0</v>
      </c>
      <c r="AV351" s="128">
        <f>AV24+AV97+AV118+AV132+AV147+AV156+AV204+AV241+AV312</f>
        <v>400000</v>
      </c>
      <c r="AX351" s="128">
        <f>AX24+AX97+AX118+AX132+AX147+AX156+AX204+AX241+AX312</f>
        <v>49297.26</v>
      </c>
      <c r="AY351" s="128">
        <f>AY24+AY97+AY118+AY132+AY147+AY156+AY204+AY241+AY312</f>
        <v>449297.26</v>
      </c>
      <c r="BA351" s="128">
        <f>BA24+BA97+BA118+BA132+BA147+BA156+BA204+BA241+BA312</f>
        <v>0</v>
      </c>
      <c r="BB351" s="128">
        <f>BB24+BB97+BB118+BB132+BB147+BB156+BB204+BB241+BB312</f>
        <v>449297.26</v>
      </c>
      <c r="BD351" s="128">
        <f>BD24+BD97+BD118+BD132+BD147+BD156+BD204+BD241+BD312</f>
        <v>491203</v>
      </c>
      <c r="BE351" s="128">
        <f>BE24+BE97+BE118+BE132+BE147+BE156+BE204+BE241+BE312</f>
        <v>940500.26</v>
      </c>
      <c r="BG351" s="128">
        <f>BG24+BG97+BG118+BG132+BG147+BG156+BG204+BG241+BG312</f>
        <v>0</v>
      </c>
      <c r="BH351" s="128">
        <f>BH24+BH97+BH118+BH132+BH147+BH156+BH204+BH241+BH312</f>
        <v>940500.26</v>
      </c>
      <c r="BJ351" s="128">
        <f>BJ24+BJ97+BJ118+BJ132+BJ147+BJ156+BJ204+BJ241+BJ312</f>
        <v>891391.18000000017</v>
      </c>
      <c r="BK351" s="236">
        <f t="shared" si="1713"/>
        <v>0.94778408673698844</v>
      </c>
      <c r="BM351" s="243">
        <f>BM24+BM97+BM118+BM132+BM147+BM156+BM204+BM241+BM312</f>
        <v>2002000</v>
      </c>
      <c r="BN351" s="236">
        <f t="shared" ref="BN351:BN355" si="1717">BM351/BJ351</f>
        <v>2.2459275399157526</v>
      </c>
      <c r="BO351" s="236">
        <f t="shared" ref="BO351:BO355" si="1718">BM351/BH351</f>
        <v>2.1286543822965025</v>
      </c>
      <c r="BQ351" s="243">
        <f>BQ24+BQ97+BQ118+BQ132+BQ147+BQ156+BQ204+BQ241+BQ312</f>
        <v>0</v>
      </c>
      <c r="BR351" s="243">
        <f>BR24+BR97+BR118+BR132+BR147+BR156+BR204+BR241+BR312</f>
        <v>2002000</v>
      </c>
      <c r="BT351" s="243">
        <f>BT24+BT97+BT118+BT132+BT147+BT156+BT204+BT241+BT312</f>
        <v>0</v>
      </c>
      <c r="BU351" s="243">
        <f>BU24+BU97+BU118+BU132+BU147+BU156+BU204+BU241+BU312</f>
        <v>2002000</v>
      </c>
      <c r="BW351" s="243">
        <f>BW24+BW97+BW118+BW132+BW147+BW156+BW204+BW241+BW312</f>
        <v>220000</v>
      </c>
      <c r="BX351" s="243">
        <f>BX24+BX97+BX118+BX132+BX147+BX156+BX204+BX241+BX312</f>
        <v>2222000</v>
      </c>
      <c r="BZ351" s="243">
        <f>BZ24+BZ97+BZ118+BZ132+BZ147+BZ156+BZ204+BZ241+BZ312</f>
        <v>1000</v>
      </c>
      <c r="CA351" s="243">
        <f>CA24+CA97+CA118+CA132+CA147+CA156+CA204+CA241+CA312</f>
        <v>2223000</v>
      </c>
      <c r="CC351" s="243">
        <f>CC24+CC97+CC118+CC132+CC147+CC156+CC204+CC241+CC312</f>
        <v>0</v>
      </c>
      <c r="CD351" s="243">
        <f>CD24+CD97+CD118+CD132+CD147+CD156+CD204+CD241+CD312</f>
        <v>2223000</v>
      </c>
      <c r="CF351" s="243">
        <f>CF24+CF97+CF118+CF132+CF147+CF156+CF204+CF241+CF312</f>
        <v>0</v>
      </c>
      <c r="CG351" s="243">
        <f>CG24+CG97+CG118+CG132+CG147+CG156+CG204+CG241+CG312</f>
        <v>2223000</v>
      </c>
      <c r="CI351" s="243">
        <f>CI24+CI97+CI118+CI132+CI147+CI156+CI204+CI241+CI312</f>
        <v>0</v>
      </c>
      <c r="CJ351" s="243">
        <f>CJ24+CJ97+CJ118+CJ132+CJ147+CJ156+CJ204+CJ241+CJ312</f>
        <v>2223000</v>
      </c>
      <c r="CL351" s="322">
        <f>CL24+CL97+CL118+CL132+CL147+CL156+CL204+CL241+CL312</f>
        <v>0</v>
      </c>
      <c r="CM351" s="243">
        <f>CM24+CM97+CM118+CM132+CM147+CM156+CM204+CM241+CM312</f>
        <v>2223000</v>
      </c>
      <c r="CO351" s="243">
        <f>CO24+CO97+CO118+CO132+CO147+CO156+CO204+CO241+CO312</f>
        <v>0</v>
      </c>
      <c r="CP351" s="243">
        <f>CP24+CP97+CP118+CP132+CP147+CP156+CP204+CP241+CP312</f>
        <v>2223000</v>
      </c>
      <c r="CR351" s="243">
        <f>CR24+CR97+CR118+CR132+CR147+CR156+CR204+CR241+CR312</f>
        <v>0</v>
      </c>
      <c r="CS351" s="243">
        <f>CS24+CS97+CS118+CS132+CS147+CS156+CS204+CS241+CS312</f>
        <v>2223000</v>
      </c>
      <c r="CU351" s="243">
        <f>CU24+CU97+CU118+CU132+CU147+CU156+CU204+CU241+CU312</f>
        <v>-106000</v>
      </c>
      <c r="CV351" s="243">
        <f>CV24+CV97+CV118+CV132+CV147+CV156+CV204+CV241+CV312</f>
        <v>2117000</v>
      </c>
      <c r="CX351" s="243">
        <f>CX24+CX97+CX118+CX132+CX147+CX156+CX204+CX241+CX312</f>
        <v>0</v>
      </c>
      <c r="CY351" s="243">
        <f>CY24+CY97+CY118+CY132+CY147+CY156+CY204+CY241+CY312</f>
        <v>2117000</v>
      </c>
      <c r="DA351" s="243">
        <f>DA24+DA97+DA118+DA132+DA147+DA156+DA204+DA241+DA312</f>
        <v>2115232.5699999998</v>
      </c>
      <c r="DC351" s="243">
        <f>DC24+DC97+DC118+DC132+DC147+DC156+DC204+DC241+DC312</f>
        <v>247048</v>
      </c>
      <c r="DE351" s="243">
        <f>DE24+DE97+DE118+DE132+DE147+DE156+DE204+DE241+DE312</f>
        <v>0</v>
      </c>
      <c r="DF351" s="128">
        <f>DF24+DF97+DF118+DF132+DF147+DF156+DF204+DF241+DF312</f>
        <v>247048</v>
      </c>
      <c r="DH351" s="243">
        <f>DH24+DH97+DH118+DH132+DH147+DH156+DH204+DH241+DH312</f>
        <v>0</v>
      </c>
      <c r="DI351" s="128">
        <f>DI24+DI97+DI118+DI132+DI147+DI156+DI204+DI241+DI312</f>
        <v>247048</v>
      </c>
      <c r="DK351" s="243">
        <f>DK24+DK97+DK118+DK132+DK147+DK156+DK204+DK241+DK312</f>
        <v>0</v>
      </c>
      <c r="DL351" s="128">
        <f>DL24+DL97+DL118+DL132+DL147+DL156+DL204+DL241+DL312</f>
        <v>247048</v>
      </c>
      <c r="DN351" s="243">
        <f>DN24+DN97+DN118+DN132+DN147+DN156+DN204+DN241+DN312</f>
        <v>-8000</v>
      </c>
      <c r="DO351" s="128">
        <f>DO24+DO97+DO118+DO132+DO147+DO156+DO204+DO241+DO312</f>
        <v>239048</v>
      </c>
      <c r="DQ351" s="243">
        <f>DQ24+DQ97+DQ118+DQ132+DQ147+DQ156+DQ204+DQ241+DQ312</f>
        <v>77000</v>
      </c>
      <c r="DR351" s="128">
        <f>DR24+DR97+DR118+DR132+DR147+DR156+DR204+DR241+DR312</f>
        <v>316048</v>
      </c>
      <c r="DT351" s="243">
        <f>DT24+DT97+DT118+DT132+DT147+DT156+DT204+DT241+DT312</f>
        <v>5000</v>
      </c>
      <c r="DU351" s="128">
        <f>DU24+DU97+DU118+DU132+DU147+DU156+DU204+DU241+DU312</f>
        <v>321048</v>
      </c>
      <c r="DW351" s="243">
        <f>DW24+DW97+DW118+DW132+DW147+DW156+DW204+DW241+DW312</f>
        <v>0</v>
      </c>
      <c r="DX351" s="128">
        <f>DX24+DX97+DX118+DX132+DX147+DX156+DX204+DX241+DX312</f>
        <v>321048</v>
      </c>
      <c r="DZ351" s="243">
        <f>DZ24+DZ97+DZ118+DZ132+DZ147+DZ156+DZ204+DZ241+DZ312+DZ99</f>
        <v>30000</v>
      </c>
      <c r="EA351" s="243">
        <f>EA24+EA97+EA118+EA132+EA147+EA156+EA204+EA241+EA312+EA99</f>
        <v>351048</v>
      </c>
      <c r="EC351" s="243">
        <f>EC24+EC97+EC118+EC132+EC147+EC156+EC204+EC241+EC312+EC99</f>
        <v>-6090</v>
      </c>
      <c r="ED351" s="243">
        <f>ED24+ED97+ED118+ED132+ED147+ED156+ED204+ED241+ED312+ED99</f>
        <v>344958</v>
      </c>
      <c r="EF351" s="243">
        <f>EF24+EF97+EF118+EF132+EF147+EF156+EF204+EF241+EF312+EF99</f>
        <v>7980</v>
      </c>
      <c r="EG351" s="243">
        <f>EG24+EG97+EG118+EG132+EG147+EG156+EG204+EG241+EG312+EG99</f>
        <v>352938</v>
      </c>
      <c r="EI351" s="243">
        <f>EI24+EI97+EI118+EI132+EI147+EI156+EI204+EI241+EI312+EI99</f>
        <v>349820.73</v>
      </c>
      <c r="EK351" s="243">
        <f>EK24+EK97+EK118+EK132+EK147+EK156+EK204+EK241+EK312+EK99</f>
        <v>565000</v>
      </c>
      <c r="EM351" s="243">
        <f>EM24+EM97+EM118+EM132+EM147+EM156+EM204+EM241+EM312+EM99</f>
        <v>0</v>
      </c>
      <c r="EN351" s="243">
        <f>EN24+EN97+EN118+EN132+EN147+EN156+EN204+EN241+EN312+EN99</f>
        <v>565000</v>
      </c>
      <c r="EP351" s="243">
        <f>EP24+EP97+EP118+EP132+EP147+EP156+EP204+EP241+EP312+EP99</f>
        <v>50000</v>
      </c>
      <c r="EQ351" s="243">
        <f>EQ24+EQ97+EQ118+EQ132+EQ147+EQ156+EQ204+EQ241+EQ312+EQ99</f>
        <v>615000</v>
      </c>
      <c r="ES351" s="243">
        <f>ES24+ES97+ES118+ES132+ES147+ES156+ES204+ES241+ES312+ES99</f>
        <v>0</v>
      </c>
      <c r="ET351" s="243">
        <f>ET24+ET97+ET118+ET132+ET147+ET156+ET204+ET241+ET312+ET99</f>
        <v>615000</v>
      </c>
      <c r="EV351" s="243">
        <f>EV24+EV97+EV118+EV132+EV147+EV156+EV204+EV241+EV312+EV99</f>
        <v>70000</v>
      </c>
      <c r="EW351" s="243">
        <f>EW24+EW97+EW118+EW132+EW147+EW156+EW204+EW241+EW312+EW99</f>
        <v>685000</v>
      </c>
      <c r="EY351" s="243">
        <f>EY24+EY97+EY118+EY132+EY147+EY156+EY204+EY241+EY312+EY99</f>
        <v>-10200</v>
      </c>
      <c r="EZ351" s="243">
        <f>EZ24+EZ97+EZ118+EZ132+EZ147+EZ156+EZ204+EZ241+EZ312+EZ99</f>
        <v>674800</v>
      </c>
      <c r="FB351" s="243">
        <f>FB24+FB97+FB118+FB132+FB147+FB156+FB204+FB241+FB312+FB99+FB39</f>
        <v>-24000</v>
      </c>
      <c r="FC351" s="243">
        <f>FC24+FC97+FC118+FC132+FC147+FC156+FC204+FC241+FC312+FC99</f>
        <v>634800</v>
      </c>
      <c r="FE351" s="243">
        <f>FE24+FE97+FE118+FE132+FE147+FE156+FE204+FE241+FE312+FE99+FE39</f>
        <v>0</v>
      </c>
      <c r="FF351" s="243">
        <f>FF24+FF97+FF118+FF132+FF147+FF156+FF204+FF241+FF312+FF99</f>
        <v>634800</v>
      </c>
      <c r="FH351" s="243">
        <f>FH24+FH97+FH118+FH132+FH147+FH156+FH204+FH241+FH312+FH99+FH39</f>
        <v>0</v>
      </c>
      <c r="FI351" s="243">
        <f>FI24+FI97+FI118+FI132+FI147+FI156+FI204+FI241+FI312+FI99</f>
        <v>634800</v>
      </c>
      <c r="FK351" s="243">
        <f>FK24+FK97+FK118+FK132+FK147+FK156+FK204+FK241+FK312+FK99</f>
        <v>-47000</v>
      </c>
      <c r="FL351" s="243">
        <f>FL24+FL97+FL118+FL132+FL147+FL156+FL204+FL241+FL312+FL99</f>
        <v>587800</v>
      </c>
      <c r="FN351" s="243">
        <f>FN24+FN97+FN118+FN132+FN147+FN156+FN204+FN241+FN312+FN99</f>
        <v>-12800</v>
      </c>
      <c r="FO351" s="243">
        <f>FO24+FO97+FO118+FO132+FO147+FO156+FO204+FO241+FO312+FO99</f>
        <v>575000</v>
      </c>
      <c r="FQ351" s="243">
        <v>-11840</v>
      </c>
      <c r="FR351" s="243">
        <v>563160</v>
      </c>
      <c r="FT351" s="243">
        <f>FT24+FT97+FT118+FT132+FT147+FT156+FT204+FT241+FT312+FT99</f>
        <v>512195.08</v>
      </c>
      <c r="FV351" s="243">
        <f>FV24+FV97+FV118+FV132+FV147+FV156+FV204+FV241+FV312+FV99</f>
        <v>750000</v>
      </c>
      <c r="FW351" s="235">
        <f t="shared" si="1716"/>
        <v>1.4642858342176968</v>
      </c>
      <c r="FY351" s="243">
        <f>FY24+FY97+FY118+FY132+FY147+FY156+FY204+FY241+FY312+FY99</f>
        <v>-15000</v>
      </c>
      <c r="FZ351" s="243">
        <f>FZ24+FZ97+FZ118+FZ132+FZ147+FZ156+FZ204+FZ241+FZ312+FZ99</f>
        <v>735000</v>
      </c>
      <c r="GB351" s="243">
        <f>GB24+GB97+GB118+GB132+GB147+GB156+GB204+GB241+GB312+GB99</f>
        <v>0</v>
      </c>
      <c r="GC351" s="243">
        <f>GC24+GC97+GC118+GC132+GC147+GC156+GC204+GC241+GC312+GC99</f>
        <v>735000</v>
      </c>
      <c r="GE351" s="243">
        <f>GE24+GE97+GE118+GE132+GE147+GE156+GE204+GE241+GE312+GE99</f>
        <v>0</v>
      </c>
      <c r="GF351" s="243">
        <f>GF24+GF97+GF118+GF132+GF147+GF156+GF204+GF241+GF312+GF99</f>
        <v>735000</v>
      </c>
      <c r="GH351" s="243">
        <f>GH24+GH97+GH118+GH132+GH147+GH156+GH204+GH241+GH312+GH99</f>
        <v>-11600</v>
      </c>
      <c r="GI351" s="243">
        <f>GI24+GI97+GI118+GI132+GI147+GI156+GI204+GI241+GI312+GI99</f>
        <v>723400</v>
      </c>
      <c r="GK351" s="243">
        <f>GK24+GK97+GK118+GK132+GK147+GK156+GK204+GK241+GK312+GK99</f>
        <v>-500</v>
      </c>
      <c r="GL351" s="243">
        <f>GL24+GL97+GL118+GL132+GL147+GL156+GL204+GL241+GL312+GL99</f>
        <v>722900</v>
      </c>
      <c r="GN351" s="243">
        <f>GN24+GN97+GN118+GN132+GN147+GN156+GN204+GN241+GN312+GN99</f>
        <v>-8400</v>
      </c>
      <c r="GO351" s="243">
        <f>GO24+GO97+GO118+GO132+GO147+GO156+GO204+GO241+GO312+GO99</f>
        <v>714500</v>
      </c>
      <c r="GQ351" s="243">
        <f>GQ24+GQ97+GQ118+GQ132+GQ147+GQ156+GQ204+GQ241+GQ312+GQ99</f>
        <v>-165000</v>
      </c>
      <c r="GR351" s="243">
        <f>GR24+GR97+GR118+GR132+GR147+GR156+GR204+GR241+GR312+GR99</f>
        <v>549500</v>
      </c>
      <c r="GT351" s="243">
        <f>GT24+GT97+GT118+GT132+GT147+GT156+GT204+GT241+GT312+GT99</f>
        <v>8400</v>
      </c>
      <c r="GU351" s="243">
        <f>GU24+GU97+GU118+GU132+GU147+GU156+GU204+GU241+GU312+GU99</f>
        <v>557900</v>
      </c>
      <c r="GW351" s="243">
        <f>GW24+GW97+GW118+GW132+GW147+GW156+GW204+GW241+GW312+GW99</f>
        <v>6700</v>
      </c>
      <c r="GX351" s="243">
        <f>GX24+GX97+GX118+GX132+GX147+GX156+GX204+GX241+GX312+GX99</f>
        <v>564600</v>
      </c>
      <c r="GZ351" s="243">
        <f>GZ24+GZ97+GZ118+GZ132+GZ147+GZ156+GZ204+GZ241+GZ312+GZ99</f>
        <v>1200</v>
      </c>
      <c r="HA351" s="439">
        <f>HA24+HA97+HA118+HA132+HA147+HA156+HA204+HA241+HA312+HA99</f>
        <v>565800</v>
      </c>
      <c r="HC351" s="243">
        <f>HC24+HC97+HC118+HC132+HC147+HC156+HC204+HC241+HC312+HC99</f>
        <v>508396.5</v>
      </c>
      <c r="HE351" s="243">
        <f>HE24+HE97+HE118+HE132+HE147+HE156+HE204+HE241+HE312+HE99</f>
        <v>317000</v>
      </c>
      <c r="HF351" s="235">
        <f>HE351/HC351</f>
        <v>0.62352907622298737</v>
      </c>
    </row>
    <row r="352" spans="1:214" ht="15.75" thickTop="1">
      <c r="Y352" s="118"/>
      <c r="Z352" s="118"/>
      <c r="AH352" s="118"/>
      <c r="AL352" s="118"/>
      <c r="AR352" s="118"/>
      <c r="AS352" s="118"/>
      <c r="AU352" s="118"/>
      <c r="AV352" s="118"/>
      <c r="AX352" s="118"/>
      <c r="AY352" s="118"/>
      <c r="BA352" s="118"/>
      <c r="BB352" s="118"/>
      <c r="BD352" s="118"/>
      <c r="BE352" s="118"/>
      <c r="BG352" s="118"/>
      <c r="BH352" s="118"/>
      <c r="BJ352" s="118"/>
      <c r="BM352" s="118"/>
      <c r="BN352" s="235"/>
      <c r="BO352" s="235"/>
      <c r="BQ352" s="118"/>
      <c r="BR352" s="118"/>
      <c r="BT352" s="118"/>
      <c r="BU352" s="118"/>
      <c r="BW352" s="118"/>
      <c r="BX352" s="118"/>
      <c r="BZ352" s="118"/>
      <c r="CA352" s="118"/>
      <c r="CC352" s="118"/>
      <c r="CD352" s="118"/>
      <c r="CF352" s="118"/>
      <c r="CG352" s="118"/>
      <c r="CI352" s="118"/>
      <c r="CJ352" s="118"/>
      <c r="CL352" s="118"/>
      <c r="CM352" s="118"/>
      <c r="CO352" s="118"/>
      <c r="CP352" s="118"/>
      <c r="CR352" s="118"/>
      <c r="CS352" s="118"/>
      <c r="CU352" s="118"/>
      <c r="CV352" s="118"/>
      <c r="CX352" s="118"/>
      <c r="CY352" s="118"/>
      <c r="DA352" s="118"/>
      <c r="DC352" s="118"/>
      <c r="DE352" s="118"/>
      <c r="DF352" s="118"/>
      <c r="DG352" t="s">
        <v>463</v>
      </c>
      <c r="DH352" s="118"/>
      <c r="DI352" s="118"/>
      <c r="DK352" s="118"/>
      <c r="DL352" s="118"/>
      <c r="DN352" s="118"/>
      <c r="DO352" s="118"/>
      <c r="DQ352" s="118"/>
      <c r="DR352" s="118"/>
      <c r="DT352" s="118"/>
      <c r="DU352" s="118"/>
      <c r="DW352" s="118"/>
      <c r="DX352" s="118"/>
      <c r="DZ352" s="118"/>
      <c r="EA352" s="118"/>
      <c r="EC352" s="118"/>
      <c r="ED352" s="118"/>
      <c r="EF352" s="118"/>
      <c r="EG352" s="118"/>
      <c r="EI352" s="118"/>
      <c r="EK352" s="118"/>
      <c r="EM352" s="118"/>
      <c r="EN352" s="118"/>
      <c r="EP352" s="118"/>
      <c r="EQ352" s="118"/>
      <c r="ES352" s="118"/>
      <c r="ET352" s="118"/>
      <c r="EV352" s="118"/>
      <c r="EW352" s="118"/>
      <c r="EY352" s="118"/>
      <c r="EZ352" s="118"/>
      <c r="FB352" s="118"/>
      <c r="FC352" s="118"/>
      <c r="FE352" s="118"/>
      <c r="FF352" s="118"/>
      <c r="FH352" s="118"/>
      <c r="FI352" s="118"/>
      <c r="FK352" s="118"/>
      <c r="FL352" s="118"/>
      <c r="FN352" s="118"/>
      <c r="FO352" s="118"/>
      <c r="FQ352" s="118"/>
      <c r="FR352" s="118"/>
      <c r="FT352" s="118"/>
      <c r="FV352" s="118"/>
      <c r="FY352" s="118"/>
      <c r="FZ352" s="118"/>
      <c r="GB352" s="118"/>
      <c r="GC352" s="118"/>
      <c r="GE352" s="118"/>
      <c r="GF352" s="118"/>
      <c r="GH352" s="118"/>
      <c r="GI352" s="118"/>
      <c r="GK352" s="118"/>
      <c r="GL352" s="118"/>
      <c r="GN352" s="118"/>
      <c r="GO352" s="118"/>
      <c r="GQ352" s="118"/>
      <c r="GR352" s="118"/>
      <c r="GT352" s="118"/>
      <c r="GU352" s="118"/>
      <c r="GW352" s="118"/>
      <c r="GX352" s="118"/>
      <c r="GZ352" s="118"/>
      <c r="HA352" s="440"/>
      <c r="HC352" s="118"/>
      <c r="HE352" s="118"/>
    </row>
    <row r="353" spans="1:214" ht="15.75" thickBot="1">
      <c r="A353" s="77"/>
      <c r="B353" s="77" t="s">
        <v>277</v>
      </c>
      <c r="C353" s="285" t="s">
        <v>319</v>
      </c>
      <c r="D353" s="82">
        <f>D242+D205+D180+D168+D148+D137+D25</f>
        <v>900000</v>
      </c>
      <c r="E353" s="83"/>
      <c r="F353" s="82">
        <f>F242+F205+F180+F168+F148+F137+F25</f>
        <v>470400</v>
      </c>
      <c r="G353" s="83"/>
      <c r="H353" s="82"/>
      <c r="I353" s="82">
        <f>I242+I205+I180+I168+I148+I137+I25</f>
        <v>624582.71</v>
      </c>
      <c r="J353" s="77"/>
      <c r="K353" s="77"/>
      <c r="L353" s="129">
        <f>L242+L205+L180+L168+L148+L137+L25</f>
        <v>1760000</v>
      </c>
      <c r="M353" s="81">
        <f>L353/F353-1</f>
        <v>2.7414965986394559</v>
      </c>
      <c r="N353" s="81">
        <f>L353/I353-1</f>
        <v>1.8178813979656914</v>
      </c>
      <c r="Q353" s="129">
        <f>Q242+Q205+Q180+Q168+Q148+Q137+Q25</f>
        <v>1808000</v>
      </c>
      <c r="R353" s="129">
        <f>R242+R205+R180+R168+R148+R137+R25</f>
        <v>264855</v>
      </c>
      <c r="S353" s="129">
        <f>S242+S205+S180+S168+S148+S137+S25</f>
        <v>1348500</v>
      </c>
      <c r="T353" s="129">
        <f>T242+T205+T180+T168+T148+T137+T25</f>
        <v>-459500</v>
      </c>
      <c r="Y353" s="129">
        <f>Y313+Y242+Y205+Y180+Y168+Y148+Y137+Y25</f>
        <v>1356500</v>
      </c>
      <c r="Z353" s="129"/>
      <c r="AA353" s="129">
        <f>AA313+AA242+AA205+AA180+AA168+AA148+AA137+AA25</f>
        <v>1365610</v>
      </c>
      <c r="AB353" s="129">
        <f>AB313+AB242+AB205+AB180+AB168+AB148+AB137+AB25</f>
        <v>9110</v>
      </c>
      <c r="AE353" s="129">
        <f>AE313+AE242+AE205+AE180+AE168+AE148+AE137+AE25</f>
        <v>1365610</v>
      </c>
      <c r="AF353" s="15"/>
      <c r="AH353" s="129">
        <f>AH313+AH242+AH205+AH180+AH168+AH148+AH137+AH25</f>
        <v>1363785.12</v>
      </c>
      <c r="AI353" s="17">
        <f t="shared" ref="AI353" si="1719">AH353/AE353</f>
        <v>0.99866368875447609</v>
      </c>
      <c r="AK353" s="129">
        <f>AK313+AK242+AK205+AK180+AK168+AK148+AK137+AK25</f>
        <v>564000</v>
      </c>
      <c r="AL353" s="193">
        <f>AK353/L353</f>
        <v>0.32045454545454544</v>
      </c>
      <c r="AM353" s="17">
        <f>AK353/AE353</f>
        <v>0.41300224807961278</v>
      </c>
      <c r="AN353" s="17">
        <f>AK353/AH353</f>
        <v>0.41355488612458241</v>
      </c>
      <c r="AR353" s="129">
        <f>AR313+AR242+AR205+AR180+AR168+AR148+AR137+AR25</f>
        <v>0</v>
      </c>
      <c r="AS353" s="129">
        <f>AS313+AS242+AS205+AS180+AS168+AS148+AS137+AS25</f>
        <v>564000</v>
      </c>
      <c r="AU353" s="129">
        <f>AU313+AU242+AU205+AU180+AU168+AU148+AU137+AU25</f>
        <v>0</v>
      </c>
      <c r="AV353" s="129">
        <f>AV313+AV242+AV205+AV180+AV168+AV148+AV137+AV25</f>
        <v>564000</v>
      </c>
      <c r="AX353" s="129">
        <f>AX313+AX242+AX205+AX180+AX168+AX148+AX137+AX25</f>
        <v>0</v>
      </c>
      <c r="AY353" s="129">
        <f>AY313+AY242+AY205+AY180+AY168+AY148+AY137+AY25</f>
        <v>564000</v>
      </c>
      <c r="BA353" s="129">
        <f>BA313+BA242+BA205+BA180+BA168+BA148+BA137+BA25</f>
        <v>0</v>
      </c>
      <c r="BB353" s="129">
        <f>BB313+BB242+BB205+BB180+BB168+BB148+BB137+BB25</f>
        <v>564000</v>
      </c>
      <c r="BD353" s="129">
        <f>BD313+BD242+BD205+BD180+BD168+BD148+BD137+BD25</f>
        <v>-416900</v>
      </c>
      <c r="BE353" s="129">
        <f>BE313+BE242+BE205+BE180+BE168+BE148+BE137+BE25</f>
        <v>147100</v>
      </c>
      <c r="BG353" s="129">
        <f>BG313+BG242+BG205+BG180+BG168+BG148+BG137+BG25+BG157</f>
        <v>0</v>
      </c>
      <c r="BH353" s="129">
        <f>BH313+BH242+BH205+BH180+BH168+BH148+BH137+BH25+BH157</f>
        <v>147100</v>
      </c>
      <c r="BJ353" s="129">
        <f>BJ313+BJ242+BJ205+BJ180+BJ168+BJ148+BJ137+BJ25+BJ157</f>
        <v>146088</v>
      </c>
      <c r="BK353" s="237">
        <f t="shared" ref="BK353" si="1720">BJ353/BH353</f>
        <v>0.99312032630863356</v>
      </c>
      <c r="BM353" s="129">
        <f>BM313+BM242+BM205+BM180+BM168+BM148+BM137+BM25+BM160</f>
        <v>2057900</v>
      </c>
      <c r="BN353" s="237">
        <f t="shared" ref="BN353" si="1721">BM353/BJ353</f>
        <v>14.086714856798642</v>
      </c>
      <c r="BO353" s="237">
        <f t="shared" ref="BO353" si="1722">BM353/BH353</f>
        <v>13.989802855200544</v>
      </c>
      <c r="BQ353" s="129">
        <f>BQ313+BQ242+BQ205+BQ180+BQ168+BQ148+BQ137+BQ25+BQ160</f>
        <v>0</v>
      </c>
      <c r="BR353" s="129">
        <f>BR313+BR242+BR205+BR180+BR168+BR148+BR137+BR25+BR160</f>
        <v>2057900</v>
      </c>
      <c r="BT353" s="129">
        <f>BT313+BT242+BT205+BT180+BT168+BT148+BT137+BT25+BT160</f>
        <v>0</v>
      </c>
      <c r="BU353" s="129">
        <f>BU313+BU242+BU205+BU180+BU168+BU148+BU137+BU25+BU160</f>
        <v>2057900</v>
      </c>
      <c r="BW353" s="129">
        <f>BW313+BW242+BW205+BW180+BW168+BW148+BW137+BW25+BW160</f>
        <v>60000</v>
      </c>
      <c r="BX353" s="129">
        <f>BX313+BX242+BX205+BX180+BX168+BX148+BX137+BX25+BX160</f>
        <v>2117900</v>
      </c>
      <c r="BZ353" s="129">
        <f>BZ313+BZ242+BZ205+BZ180+BZ168+BZ148+BZ137+BZ25+BZ160</f>
        <v>0</v>
      </c>
      <c r="CA353" s="129">
        <f>CA313+CA242+CA205+CA180+CA168+CA148+CA137+CA25+CA160</f>
        <v>2117900</v>
      </c>
      <c r="CC353" s="129">
        <f>CC313+CC242+CC205+CC180+CC168+CC148+CC137+CC25+CC160</f>
        <v>0</v>
      </c>
      <c r="CD353" s="129">
        <f>CD313+CD242+CD205+CD180+CD168+CD148+CD137+CD25+CD160</f>
        <v>2117900</v>
      </c>
      <c r="CF353" s="129">
        <f>CF313+CF242+CF205+CF180+CF168+CF148+CF137+CF25+CF160</f>
        <v>0</v>
      </c>
      <c r="CG353" s="129">
        <f>CG313+CG242+CG205+CG180+CG168+CG148+CG137+CG25+CG160</f>
        <v>2117900</v>
      </c>
      <c r="CI353" s="129">
        <f>CI313+CI242+CI205+CI180+CI168+CI148+CI137+CI25+CI160</f>
        <v>0</v>
      </c>
      <c r="CJ353" s="129">
        <f>CJ313+CJ242+CJ205+CJ180+CJ168+CJ148+CJ137+CJ25+CJ160</f>
        <v>2117900</v>
      </c>
      <c r="CL353" s="321">
        <f>CL313+CL242+CL205+CL180+CL168+CL148+CL137+CL25+CL160</f>
        <v>0</v>
      </c>
      <c r="CM353" s="129">
        <f>CM313+CM242+CM205+CM180+CM168+CM148+CM137+CM25+CM160</f>
        <v>2117900</v>
      </c>
      <c r="CO353" s="129">
        <f>CO313+CO242+CO205+CO180+CO168+CO148+CO137+CO25+CO160+CO85</f>
        <v>0</v>
      </c>
      <c r="CP353" s="129">
        <f>CP313+CP242+CP205+CP180+CP168+CP148+CP137+CP25+CP160+CP85</f>
        <v>2117900</v>
      </c>
      <c r="CR353" s="129">
        <f>CR313+CR242+CR205+CR180+CR168+CR148+CR137+CR25+CR160+CR85</f>
        <v>242000</v>
      </c>
      <c r="CS353" s="129">
        <f>CS313+CS242+CS205+CS180+CS168+CS148+CS137+CS25+CS160+CS85</f>
        <v>2359900</v>
      </c>
      <c r="CU353" s="129">
        <f>CU313+CU242+CU205+CU180+CU168+CU148+CU137+CU25+CU160+CU85</f>
        <v>122700</v>
      </c>
      <c r="CV353" s="129">
        <f>CV313+CV242+CV205+CV180+CV168+CV148+CV137+CV25+CV160+CV85</f>
        <v>2482600</v>
      </c>
      <c r="CX353" s="129">
        <f>CX313+CX242+CX205+CX180+CX168+CX148+CX137+CX25+CX160+CX85</f>
        <v>0</v>
      </c>
      <c r="CY353" s="129">
        <f>CY313+CY242+CY205+CY180+CY168+CY148+CY137+CY25+CY160+CY85</f>
        <v>2482600</v>
      </c>
      <c r="DA353" s="129">
        <f>DA313+DA242+DA205+DA180+DA168+DA148+DA137+DA25+DA160+DA85</f>
        <v>2481231</v>
      </c>
      <c r="DC353" s="129">
        <f>DC313+DC242+DC205+DC180+DC168+DC148+DC137+DC25+DC160+DC85+DC119</f>
        <v>539700</v>
      </c>
      <c r="DE353" s="129">
        <f>DE313+DE242+DE205+DE180+DE168+DE148+DE137+DE25+DE157</f>
        <v>0</v>
      </c>
      <c r="DF353" s="129">
        <f>DF313+DF242+DF205+DF180+DF168+DF148+DF137+DF25+DF160+DF85+DF119</f>
        <v>539700</v>
      </c>
      <c r="DH353" s="129">
        <f>DH313+DH242+DH205+DH180+DH168+DH148+DH137+DH25+DH157</f>
        <v>0</v>
      </c>
      <c r="DI353" s="129">
        <f>DI313+DI242+DI205+DI180+DI168+DI148+DI137+DI25+DI160+DI85+DI119</f>
        <v>539700</v>
      </c>
      <c r="DK353" s="129">
        <f>DK313+DK242+DK205+DK180+DK168+DK148+DK137+DK25+DK157+DK119+DK85</f>
        <v>866540.65999999992</v>
      </c>
      <c r="DL353" s="129">
        <f>DL313+DL242+DL205+DL180+DL168+DL148+DL137+DL25+DL160+DL85+DL119</f>
        <v>1406240.66</v>
      </c>
      <c r="DN353" s="129">
        <f>DN313+DN242+DN205+DN180+DN168+DN148+DN137+DN25+DN157+DN119+DN85</f>
        <v>0</v>
      </c>
      <c r="DO353" s="129">
        <f>DO313+DO242+DO205+DO180+DO168+DO148+DO137+DO25+DO160+DO85+DO119</f>
        <v>1406240.66</v>
      </c>
      <c r="DQ353" s="129">
        <f>DQ313+DQ242+DQ205+DQ180+DQ168+DQ148+DQ137+DQ25+DQ157+DQ119+DQ85</f>
        <v>99000</v>
      </c>
      <c r="DR353" s="129">
        <f>DR313+DR242+DR205+DR180+DR168+DR148+DR137+DR25+DR160+DR85+DR119</f>
        <v>1505240.66</v>
      </c>
      <c r="DT353" s="129">
        <f>DT313+DT242+DT205+DT180+DT168+DT148+DT137+DT25+DT157+DT119+DT85</f>
        <v>2000</v>
      </c>
      <c r="DU353" s="129">
        <f>DU313+DU242+DU205+DU180+DU168+DU148+DU137+DU25+DU160+DU85+DU119</f>
        <v>1507240.66</v>
      </c>
      <c r="DW353" s="129">
        <f>DW313+DW242+DW205+DW180+DW168+DW148+DW137+DW25+DW157+DW119+DW85</f>
        <v>584000</v>
      </c>
      <c r="DX353" s="129">
        <f>DX313+DX242+DX205+DX180+DX168+DX148+DX137+DX25+DX160+DX85+DX119</f>
        <v>2091240.66</v>
      </c>
      <c r="DZ353" s="129">
        <f>DZ313+DZ242+DZ205+DZ180+DZ168+DZ148+DZ137+DZ25+DZ157+DZ119+DZ85</f>
        <v>0</v>
      </c>
      <c r="EA353" s="129">
        <f>EA313+EA242+EA205+EA180+EA168+EA148+EA137+EA25+EA160+EA85+EA119</f>
        <v>2091240.66</v>
      </c>
      <c r="EC353" s="129">
        <f>EC313+EC242+EC205+EC180+EC168+EC148+EC137+EC25+EC157+EC119+EC85</f>
        <v>-100000</v>
      </c>
      <c r="ED353" s="129">
        <f>ED313+ED242+ED205+ED180+ED168+ED148+ED137+ED25+ED160+ED85+ED119</f>
        <v>1991240.66</v>
      </c>
      <c r="EF353" s="129">
        <f>EF313+EF242+EF205+EF180+EF168+EF148+EF137+EF25+EF157+EF119+EF85</f>
        <v>-200000</v>
      </c>
      <c r="EG353" s="129">
        <f>EG313+EG242+EG205+EG180+EG168+EG148+EG137+EG25+EG160+EG85+EG119</f>
        <v>1791240.66</v>
      </c>
      <c r="EI353" s="129">
        <f>EI313+EI242+EI205+EI180+EI168+EI148+EI137+EI25+EI157+EI119+EI85</f>
        <v>1491803.66</v>
      </c>
      <c r="EK353" s="129">
        <f>EK313+EK242+EK205+EK180+EK168+EK148+EK137+EK25+EK157+EK119+EK85+EK71</f>
        <v>2258340</v>
      </c>
      <c r="EM353" s="129">
        <f>EM313+EM242+EM205+EM180+EM168+EM148+EM137+EM25+EM157+EM119+EM85+EM71</f>
        <v>-7300</v>
      </c>
      <c r="EN353" s="129">
        <f>EN313+EN242+EN205+EN180+EN168+EN148+EN137+EN25+EN157+EN119+EN85+EN71</f>
        <v>2251040</v>
      </c>
      <c r="EP353" s="129">
        <f>EP313+EP242+EP205+EP180+EP168+EP148+EP137+EP25+EP157+EP119+EP85+EP71</f>
        <v>0</v>
      </c>
      <c r="EQ353" s="129">
        <f>EQ313+EQ242+EQ205+EQ180+EQ168+EQ148+EQ137+EQ25+EQ157+EQ119+EQ85+EQ71</f>
        <v>2251040</v>
      </c>
      <c r="ES353" s="129">
        <f>ES313+ES242+ES205+ES180+ES168+ES148+ES137+ES25+ES157+ES119+ES85+ES71</f>
        <v>0</v>
      </c>
      <c r="ET353" s="129">
        <f>ET313+ET242+ET205+ET180+ET168+ET148+ET137+ET25+ET157+ET119+ET85+ET71</f>
        <v>2251040</v>
      </c>
      <c r="EV353" s="129">
        <f>EV313+EV242+EV205+EV180+EV168+EV148+EV137+EV25+EV157+EV119+EV85+EV71</f>
        <v>0</v>
      </c>
      <c r="EW353" s="129">
        <f>EW313+EW242+EW205+EW180+EW168+EW148+EW137+EW25+EW157+EW119+EW85+EW71</f>
        <v>2251040</v>
      </c>
      <c r="EY353" s="129">
        <f>EY313+EY242+EY205+EY180+EY168+EY148+EY137+EY25+EY157+EY119+EY85+EY71</f>
        <v>0</v>
      </c>
      <c r="EZ353" s="129">
        <f>EZ313+EZ242+EZ205+EZ180+EZ168+EZ148+EZ137+EZ25+EZ157+EZ119+EZ85+EZ71</f>
        <v>2251040</v>
      </c>
      <c r="FB353" s="129">
        <f>FB313+FB242+FB205+FB180+FB168+FB148+FB137+FB25+FB157+FB119+FB85+FB71</f>
        <v>61000</v>
      </c>
      <c r="FC353" s="129">
        <f>FC313+FC242+FC205+FC180+FC168+FC148+FC137+FC25+FC157+FC119+FC85+FC71</f>
        <v>2312040</v>
      </c>
      <c r="FE353" s="129">
        <f>FE313+FE242+FE205+FE180+FE168+FE148+FE137+FE25+FE157+FE119+FE85+FE71</f>
        <v>0</v>
      </c>
      <c r="FF353" s="129">
        <f>FF313+FF242+FF205+FF180+FF168+FF148+FF137+FF25+FF157+FF119+FF85+FF71</f>
        <v>2312040</v>
      </c>
      <c r="FH353" s="129">
        <f>FH313+FH242+FH205+FH180+FH168+FH148+FH137+FH25+FH157+FH119+FH85+FH71</f>
        <v>0</v>
      </c>
      <c r="FI353" s="129">
        <f>FI313+FI242+FI205+FI180+FI168+FI148+FI137+FI25+FI157+FI119+FI85+FI71</f>
        <v>2312040</v>
      </c>
      <c r="FK353" s="129">
        <f>FK313+FK242+FK205+FK180+FK168+FK148+FK137+FK25+FK157+FK119+FK85+FK71</f>
        <v>168400</v>
      </c>
      <c r="FL353" s="129">
        <f>FL313+FL242+FL205+FL180+FL168+FL148+FL137+FL25+FL157+FL119+FL85+FL71</f>
        <v>2480440</v>
      </c>
      <c r="FN353" s="129">
        <f>FN313+FN242+FN205+FN180+FN168+FN148+FN137+FN25+FN157+FN119+FN85+FN71</f>
        <v>0</v>
      </c>
      <c r="FO353" s="129">
        <f>FO313+FO242+FO205+FO180+FO168+FO148+FO137+FO25+FO157+FO119+FO85+FO71</f>
        <v>2480440</v>
      </c>
      <c r="FQ353" s="129">
        <v>0</v>
      </c>
      <c r="FR353" s="129">
        <v>2480440</v>
      </c>
      <c r="FT353" s="129">
        <f>FT313+FT242+FT205+FT180+FT168+FT148+FT137+FT25+FT160+FT119+FT85+FT71</f>
        <v>2403137.06</v>
      </c>
      <c r="FV353" s="129">
        <f>FV313+FV242+FV205+FV180+FV168+FV148+FV137+FV25+FV160+FV119+FV85+FV71</f>
        <v>813300</v>
      </c>
      <c r="FW353" s="235">
        <f t="shared" ref="FW353" si="1723">FV353/FT353</f>
        <v>0.33843263188658912</v>
      </c>
      <c r="FY353" s="129">
        <f>FY313+FY242+FY205+FY180+FY168+FY148+FY137+FY25+FY160+FY119+FY85+FY71</f>
        <v>0</v>
      </c>
      <c r="FZ353" s="129">
        <f>FZ313+FZ242+FZ205+FZ180+FZ168+FZ148+FZ137+FZ25+FZ160+FZ119+FZ85+FZ71</f>
        <v>813300</v>
      </c>
      <c r="GB353" s="129">
        <f>GB313+GB242+GB205+GB180+GB168+GB148+GB137+GB25+GB160+GB119+GB85+GB71</f>
        <v>0</v>
      </c>
      <c r="GC353" s="129">
        <f>GC313+GC242+GC205+GC180+GC168+GC148+GC137+GC25+GC160+GC119+GC85+GC71</f>
        <v>813300</v>
      </c>
      <c r="GE353" s="129">
        <f>GE313+GE242+GE205+GE180+GE168+GE148+GE137+GE25+GE160+GE119+GE85+GE71</f>
        <v>19474032.550000001</v>
      </c>
      <c r="GF353" s="129">
        <f>GF313+GF242+GF205+GF180+GF168+GF148+GF137+GF25+GF160+GF119+GF85+GF71</f>
        <v>20287332.550000001</v>
      </c>
      <c r="GH353" s="129">
        <f>GH313+GH242+GH205+GH180+GH168+GH148+GH137+GH25+GH160+GH119+GH85+GH71</f>
        <v>0</v>
      </c>
      <c r="GI353" s="129">
        <f>GI313+GI242+GI205+GI180+GI168+GI148+GI137+GI25+GI160+GI119+GI85+GI71</f>
        <v>20287332.550000001</v>
      </c>
      <c r="GK353" s="129">
        <f>GK313+GK242+GK205+GK180+GK168+GK148+GK137+GK25+GK160+GK119+GK85+GK71</f>
        <v>0</v>
      </c>
      <c r="GL353" s="129">
        <f>GL313+GL242+GL205+GL180+GL168+GL148+GL137+GL25+GL160+GL119+GL85+GL71</f>
        <v>20287332.550000001</v>
      </c>
      <c r="GN353" s="129">
        <f>GN313+GN242+GN205+GN180+GN168+GN148+GN137+GN25+GN160+GN119+GN85+GN71</f>
        <v>0</v>
      </c>
      <c r="GO353" s="129">
        <f>GO313+GO242+GO205+GO180+GO168+GO148+GO137+GO25+GO160+GO119+GO85+GO71</f>
        <v>20287332.550000001</v>
      </c>
      <c r="GQ353" s="129">
        <f>GQ313+GQ242+GQ205+GQ180+GQ168+GQ148+GQ137+GQ25+GQ160+GQ119+GQ85+GQ71</f>
        <v>-22450</v>
      </c>
      <c r="GR353" s="129">
        <f>GR313+GR242+GR205+GR180+GR168+GR148+GR137+GR25+GR160+GR119+GR85+GR71</f>
        <v>20264882.550000001</v>
      </c>
      <c r="GT353" s="129">
        <f>GT313+GT242+GT205+GT180+GT168+GT148+GT137+GT25+GT160+GT119+GT85+GT71</f>
        <v>0</v>
      </c>
      <c r="GU353" s="129">
        <f>GU313+GU242+GU205+GU180+GU168+GU148+GU137+GU25+GU160+GU119+GU85+GU71</f>
        <v>20264882.550000001</v>
      </c>
      <c r="GW353" s="129">
        <f>GW313+GW242+GW205+GW180+GW168+GW148+GW137+GW25+GW160+GW119+GW85+GW71</f>
        <v>0</v>
      </c>
      <c r="GX353" s="129">
        <f>GX313+GX242+GX205+GX180+GX168+GX148+GX137+GX25+GX160+GX119+GX85+GX71</f>
        <v>20264882.550000001</v>
      </c>
      <c r="GZ353" s="129">
        <f>GZ313+GZ242+GZ205+GZ180+GZ168+GZ148+GZ137+GZ25+GZ160+GZ119+GZ85+GZ71</f>
        <v>0</v>
      </c>
      <c r="HA353" s="441">
        <f>HA313+HA242+HA205+HA180+HA168+HA148+HA137+HA25+HA160+HA119+HA85+HA71</f>
        <v>20264882.550000001</v>
      </c>
      <c r="HC353" s="129">
        <f>HC313+HC242+HC205+HC180+HC168+HC148+HC137+HC25+HC160+HC119+HC85+HC71</f>
        <v>13726506.869999999</v>
      </c>
      <c r="HE353" s="129">
        <f>HE313+HE242+HE205+HE180+HE168+HE148+HE137+HE25+HE160+HE119+HE85+HE71</f>
        <v>4260829.9117000001</v>
      </c>
      <c r="HF353" s="235">
        <f>HE353/HC353</f>
        <v>0.31040890097190477</v>
      </c>
    </row>
    <row r="354" spans="1:214" ht="16.5" thickTop="1" thickBot="1">
      <c r="R354" s="118"/>
      <c r="T354" s="118"/>
      <c r="Y354" s="118"/>
      <c r="Z354" s="118"/>
      <c r="AH354" s="15"/>
      <c r="AR354" s="118"/>
      <c r="AS354" s="118"/>
      <c r="AU354" s="118"/>
      <c r="AV354" s="118"/>
      <c r="AX354" s="118"/>
      <c r="AY354" s="118"/>
      <c r="BA354" s="118"/>
      <c r="BB354" s="118"/>
      <c r="BD354" s="118"/>
      <c r="BE354" s="118"/>
      <c r="BG354" s="118"/>
      <c r="BH354" s="118"/>
      <c r="BJ354" s="118"/>
      <c r="BM354" s="118"/>
      <c r="BN354" s="235"/>
      <c r="BO354" s="235"/>
      <c r="BQ354" s="118"/>
      <c r="BR354" s="118"/>
      <c r="BT354" s="118"/>
      <c r="BU354" s="118"/>
      <c r="BW354" s="118"/>
      <c r="BX354" s="118"/>
      <c r="BZ354" s="118"/>
      <c r="CA354" s="118"/>
      <c r="CC354" s="118"/>
      <c r="CD354" s="118"/>
      <c r="CF354" s="118"/>
      <c r="CG354" s="118"/>
      <c r="CI354" s="118"/>
      <c r="CJ354" s="118"/>
      <c r="CL354" s="118"/>
      <c r="CM354" s="118"/>
      <c r="CO354" s="118"/>
      <c r="CP354" s="118"/>
      <c r="CR354" s="118"/>
      <c r="CS354" s="118"/>
      <c r="CU354" s="118"/>
      <c r="CV354" s="118"/>
      <c r="CX354" s="118"/>
      <c r="CY354" s="118"/>
      <c r="DA354" s="118"/>
      <c r="DC354" s="118"/>
      <c r="DE354" s="118"/>
      <c r="DF354" s="118"/>
      <c r="DH354" s="118"/>
      <c r="DI354" s="118"/>
      <c r="DK354" s="118"/>
      <c r="DL354" s="118"/>
      <c r="DN354" s="118"/>
      <c r="DO354" s="118"/>
      <c r="DQ354" s="118"/>
      <c r="DR354" s="118"/>
      <c r="DT354" s="118"/>
      <c r="DU354" s="118"/>
      <c r="DW354" s="118"/>
      <c r="DX354" s="118"/>
      <c r="DZ354" s="118"/>
      <c r="EA354" s="118"/>
      <c r="EC354" s="118"/>
      <c r="ED354" s="118"/>
      <c r="EF354" s="118"/>
      <c r="EG354" s="118"/>
      <c r="EI354" s="118"/>
      <c r="EK354" s="118"/>
      <c r="EM354" s="118"/>
      <c r="EN354" s="118"/>
      <c r="EP354" s="118"/>
      <c r="EQ354" s="118"/>
      <c r="ES354" s="118"/>
      <c r="ET354" s="118"/>
      <c r="EV354" s="118"/>
      <c r="EW354" s="118"/>
      <c r="EY354" s="118"/>
      <c r="EZ354" s="118"/>
      <c r="FB354" s="118"/>
      <c r="FC354" s="118"/>
      <c r="FE354" s="118"/>
      <c r="FF354" s="118"/>
      <c r="FH354" s="118"/>
      <c r="FI354" s="118"/>
      <c r="FK354" s="118"/>
      <c r="FL354" s="118"/>
      <c r="FN354" s="118"/>
      <c r="FO354" s="118"/>
      <c r="FQ354" s="118"/>
      <c r="FR354" s="118"/>
      <c r="FT354" s="118"/>
      <c r="FV354" s="118"/>
      <c r="FY354" s="118"/>
      <c r="FZ354" s="118"/>
      <c r="GB354" s="118"/>
      <c r="GC354" s="118"/>
      <c r="GE354" s="118"/>
      <c r="GF354" s="118"/>
      <c r="GH354" s="118"/>
      <c r="GI354" s="118"/>
      <c r="GK354" s="118"/>
      <c r="GL354" s="118"/>
      <c r="GN354" s="118"/>
      <c r="GO354" s="118"/>
      <c r="GQ354" s="118"/>
      <c r="GR354" s="118"/>
      <c r="GT354" s="118"/>
      <c r="GU354" s="118"/>
      <c r="GW354" s="118"/>
      <c r="GX354" s="118"/>
      <c r="GZ354" s="118"/>
      <c r="HA354" s="440"/>
      <c r="HC354" s="118"/>
      <c r="HE354" s="118"/>
    </row>
    <row r="355" spans="1:214" ht="15.75" thickBot="1">
      <c r="A355" s="159"/>
      <c r="B355" s="159"/>
      <c r="C355" s="288" t="s">
        <v>262</v>
      </c>
      <c r="D355" s="160"/>
      <c r="E355" s="161"/>
      <c r="F355" s="160"/>
      <c r="G355" s="161"/>
      <c r="H355" s="160"/>
      <c r="I355" s="160"/>
      <c r="J355" s="159"/>
      <c r="K355" s="159"/>
      <c r="L355" s="162">
        <f>L350+L353</f>
        <v>6069999.9199999999</v>
      </c>
      <c r="M355" s="159"/>
      <c r="N355" s="159"/>
      <c r="Q355" s="162">
        <f>Q350+Q353</f>
        <v>6722400</v>
      </c>
      <c r="R355" s="162">
        <f>R350+R353</f>
        <v>2751761</v>
      </c>
      <c r="S355" s="162">
        <f>S350+S353</f>
        <v>5885000</v>
      </c>
      <c r="T355" s="162">
        <f>T350+T353</f>
        <v>-846900</v>
      </c>
      <c r="U355" s="163">
        <f>S355/Q355-1</f>
        <v>-0.12456860645007739</v>
      </c>
      <c r="Y355" s="162">
        <f>Y350+Y353</f>
        <v>5928700</v>
      </c>
      <c r="Z355" s="162"/>
      <c r="AA355" s="162">
        <f>AA350+AA353</f>
        <v>6220510</v>
      </c>
      <c r="AB355" s="162">
        <f>AB350+AB353</f>
        <v>291810</v>
      </c>
      <c r="AE355" s="162">
        <f>AE350+AE353</f>
        <v>6319760</v>
      </c>
      <c r="AF355" s="182">
        <f t="shared" ref="AF355" si="1724">AE355-AA355</f>
        <v>99250</v>
      </c>
      <c r="AH355" s="162">
        <f>AH350+AH353</f>
        <v>6028927.5000000009</v>
      </c>
      <c r="AI355" s="17">
        <f t="shared" ref="AI355" si="1725">AH355/AE355</f>
        <v>0.95398045178930857</v>
      </c>
      <c r="AK355" s="162">
        <f>AK350+AK353</f>
        <v>4829000</v>
      </c>
      <c r="AL355" s="193">
        <f>AK355/L355</f>
        <v>0.79555190504846007</v>
      </c>
      <c r="AM355" s="17">
        <f>AK355/AE355</f>
        <v>0.76411129536564681</v>
      </c>
      <c r="AN355" s="17">
        <f>AK355/AH355</f>
        <v>0.80097164877169269</v>
      </c>
      <c r="AR355" s="162">
        <f>AR350+AR353</f>
        <v>100000</v>
      </c>
      <c r="AS355" s="162">
        <f>AS350+AS353</f>
        <v>4929000</v>
      </c>
      <c r="AU355" s="162">
        <f>AU350+AU353</f>
        <v>150300</v>
      </c>
      <c r="AV355" s="162">
        <f>AV350+AV353</f>
        <v>5079300</v>
      </c>
      <c r="AX355" s="162">
        <f>AX350+AX353</f>
        <v>49297.26</v>
      </c>
      <c r="AY355" s="162">
        <f>AY350+AY353</f>
        <v>5128597.26</v>
      </c>
      <c r="BA355" s="162">
        <f>BA350+BA353</f>
        <v>0</v>
      </c>
      <c r="BB355" s="162">
        <f>BB350+BB353</f>
        <v>5128597.26</v>
      </c>
      <c r="BD355" s="162">
        <f>BD350+BD353</f>
        <v>428903</v>
      </c>
      <c r="BE355" s="162">
        <f>BE350+BE353</f>
        <v>5557500.2599999998</v>
      </c>
      <c r="BG355" s="162">
        <f>BG350+BG353</f>
        <v>0</v>
      </c>
      <c r="BH355" s="162">
        <f>BH350+BH353</f>
        <v>5557500.2599999998</v>
      </c>
      <c r="BJ355" s="162">
        <f>BJ350+BJ353</f>
        <v>5199302.4800000004</v>
      </c>
      <c r="BK355" s="239">
        <f t="shared" ref="BK355" si="1726">BJ355/BH355</f>
        <v>0.93554696117998937</v>
      </c>
      <c r="BM355" s="162">
        <f>BM350+BM353</f>
        <v>9253500</v>
      </c>
      <c r="BN355" s="239">
        <f t="shared" si="1717"/>
        <v>1.779757964764535</v>
      </c>
      <c r="BO355" s="239">
        <f t="shared" si="1718"/>
        <v>1.6650471555713433</v>
      </c>
      <c r="BQ355" s="162">
        <f>BQ350+BQ353</f>
        <v>0</v>
      </c>
      <c r="BR355" s="162">
        <f>BR350+BR353</f>
        <v>9253500</v>
      </c>
      <c r="BT355" s="162">
        <f>BT350+BT353</f>
        <v>0</v>
      </c>
      <c r="BU355" s="162">
        <f>BU350+BU353</f>
        <v>9253500</v>
      </c>
      <c r="BW355" s="162">
        <f>BW350+BW353</f>
        <v>170366</v>
      </c>
      <c r="BX355" s="162">
        <f>BX350+BX353</f>
        <v>9423866</v>
      </c>
      <c r="BZ355" s="162">
        <f>BZ350+BZ353</f>
        <v>26000</v>
      </c>
      <c r="CA355" s="162">
        <f>CA350+CA353</f>
        <v>9449866</v>
      </c>
      <c r="CC355" s="162">
        <f>CC350+CC353</f>
        <v>241888.89</v>
      </c>
      <c r="CD355" s="162">
        <f>CD350+CD353</f>
        <v>9691754.8900000006</v>
      </c>
      <c r="CF355" s="162">
        <f>CF350+CF353</f>
        <v>0</v>
      </c>
      <c r="CG355" s="162">
        <f>CG350+CG353</f>
        <v>9691754.8900000006</v>
      </c>
      <c r="CI355" s="162">
        <f>CI350+CI353</f>
        <v>0</v>
      </c>
      <c r="CJ355" s="162">
        <f>CJ350+CJ353</f>
        <v>9691754.8900000006</v>
      </c>
      <c r="CL355" s="118">
        <f>CL350+CL353</f>
        <v>0</v>
      </c>
      <c r="CM355" s="162">
        <f>CM350+CM353</f>
        <v>9691754.8900000006</v>
      </c>
      <c r="CO355" s="162">
        <f>CO350+CO353</f>
        <v>152000</v>
      </c>
      <c r="CP355" s="162">
        <f>CP350+CP353</f>
        <v>9843754.8900000006</v>
      </c>
      <c r="CR355" s="162">
        <f>CR350+CR353</f>
        <v>242000</v>
      </c>
      <c r="CS355" s="162">
        <f>CS350+CS353</f>
        <v>10085754.890000001</v>
      </c>
      <c r="CU355" s="162">
        <f>CU350+CU353</f>
        <v>-123300</v>
      </c>
      <c r="CV355" s="162">
        <f>CV350+CV353</f>
        <v>9962454.8900000006</v>
      </c>
      <c r="CX355" s="162">
        <f>CX350+CX353</f>
        <v>0</v>
      </c>
      <c r="CY355" s="162">
        <f>CY350+CY353</f>
        <v>9962454.8900000006</v>
      </c>
      <c r="DA355" s="162">
        <f>DA350+DA353</f>
        <v>10075978.440000001</v>
      </c>
      <c r="DC355" s="162">
        <f>DC350+DC353</f>
        <v>6791389.0999999996</v>
      </c>
      <c r="DE355" s="162">
        <f>DE350+DE353</f>
        <v>0</v>
      </c>
      <c r="DF355" s="162">
        <f>DF350+DF353</f>
        <v>6791389.0999999996</v>
      </c>
      <c r="DH355" s="162">
        <f>DH350+DH353</f>
        <v>57325</v>
      </c>
      <c r="DI355" s="162">
        <f>DI350+DI353</f>
        <v>6848714.0999999996</v>
      </c>
      <c r="DK355" s="162">
        <f>DK350+DK353</f>
        <v>1115990.6599999999</v>
      </c>
      <c r="DL355" s="162">
        <f>DL350+DL353</f>
        <v>7964704.7599999998</v>
      </c>
      <c r="DN355" s="162">
        <f>DN350+DN353</f>
        <v>0</v>
      </c>
      <c r="DO355" s="162">
        <f>DO350+DO353</f>
        <v>7964704.7599999998</v>
      </c>
      <c r="DQ355" s="162">
        <f>DQ350+DQ353</f>
        <v>215300</v>
      </c>
      <c r="DR355" s="162">
        <f>DR350+DR353</f>
        <v>8180004.7599999998</v>
      </c>
      <c r="DT355" s="162">
        <f>DT350+DT353</f>
        <v>103900</v>
      </c>
      <c r="DU355" s="162">
        <f>DU350+DU353</f>
        <v>8283904.7599999998</v>
      </c>
      <c r="DW355" s="162">
        <f>DW350+DW353</f>
        <v>870100</v>
      </c>
      <c r="DX355" s="162">
        <f>DX350+DX353</f>
        <v>9154004.7599999998</v>
      </c>
      <c r="DZ355" s="162">
        <f>DZ350+DZ353</f>
        <v>0</v>
      </c>
      <c r="EA355" s="162">
        <f>EA350+EA353</f>
        <v>9154004.7599999998</v>
      </c>
      <c r="EC355" s="162">
        <f>EC350+EC353</f>
        <v>-81700</v>
      </c>
      <c r="ED355" s="162">
        <f>ED350+ED353</f>
        <v>9072304.7599999998</v>
      </c>
      <c r="EF355" s="162">
        <f>EF350+EF353</f>
        <v>-203905</v>
      </c>
      <c r="EG355" s="162">
        <f>EG350+EG353</f>
        <v>8868399.7599999998</v>
      </c>
      <c r="EI355" s="162">
        <f>EI350+EI353</f>
        <v>8401451.1099999994</v>
      </c>
      <c r="EK355" s="162">
        <f>EK350+EK353</f>
        <v>8198220.0999999996</v>
      </c>
      <c r="EM355" s="162">
        <f>EM350+EM353</f>
        <v>63080</v>
      </c>
      <c r="EN355" s="162">
        <f>EN350+EN353</f>
        <v>8261300.0999999996</v>
      </c>
      <c r="EP355" s="162">
        <f>EP350+EP353</f>
        <v>182700</v>
      </c>
      <c r="EQ355" s="162">
        <f>EQ350+EQ353</f>
        <v>8444000.0999999996</v>
      </c>
      <c r="ES355" s="162">
        <f>ES350+ES353</f>
        <v>0</v>
      </c>
      <c r="ET355" s="162">
        <f>ET350+ET353</f>
        <v>8444000.0999999996</v>
      </c>
      <c r="EV355" s="162">
        <f>EV350+EV353</f>
        <v>0</v>
      </c>
      <c r="EW355" s="162">
        <f>EW350+EW353</f>
        <v>8444000.0999999996</v>
      </c>
      <c r="EY355" s="162">
        <f>EY350+EY353</f>
        <v>0</v>
      </c>
      <c r="EZ355" s="162">
        <f>EZ350+EZ353</f>
        <v>8444000.0999999996</v>
      </c>
      <c r="FB355" s="162">
        <f>FB350+FB353</f>
        <v>48000</v>
      </c>
      <c r="FC355" s="162">
        <f>FC350+FC353</f>
        <v>8492000.0999999996</v>
      </c>
      <c r="FE355" s="162">
        <f>FE350+FE353</f>
        <v>0</v>
      </c>
      <c r="FF355" s="162">
        <f>FF350+FF353</f>
        <v>8468500.0999999996</v>
      </c>
      <c r="FH355" s="162">
        <f>FH350+FH353</f>
        <v>0</v>
      </c>
      <c r="FI355" s="162">
        <f>FI350+FI353</f>
        <v>8492000.0999999996</v>
      </c>
      <c r="FK355" s="162">
        <f>FK350+FK353</f>
        <v>76881</v>
      </c>
      <c r="FL355" s="162">
        <f>FL350+FL353</f>
        <v>8568881.0999999996</v>
      </c>
      <c r="FN355" s="162">
        <f>FN350+FN353</f>
        <v>0</v>
      </c>
      <c r="FO355" s="162">
        <f>FO350+FO353</f>
        <v>8568881.0999999996</v>
      </c>
      <c r="FQ355" s="162">
        <v>0</v>
      </c>
      <c r="FR355" s="162">
        <v>8568881.0999999996</v>
      </c>
      <c r="FT355" s="162">
        <f>FT350+FT353</f>
        <v>8226972.5700000022</v>
      </c>
      <c r="FV355" s="162">
        <f>FV350+FV353</f>
        <v>6802769.4000000004</v>
      </c>
      <c r="FW355" s="235">
        <f t="shared" ref="FW355" si="1727">FV355/FT355</f>
        <v>0.82688611662649536</v>
      </c>
      <c r="FY355" s="162">
        <f>FY350+FY353</f>
        <v>0</v>
      </c>
      <c r="FZ355" s="162">
        <f>FZ350+FZ353</f>
        <v>6802769.4000000004</v>
      </c>
      <c r="GB355" s="162">
        <f>GB350+GB353</f>
        <v>0</v>
      </c>
      <c r="GC355" s="162">
        <f>GC350+GC353</f>
        <v>6802769.4000000004</v>
      </c>
      <c r="GE355" s="162">
        <f>GE350+GE353</f>
        <v>20219158.550000001</v>
      </c>
      <c r="GF355" s="162">
        <f>GF350+GF353</f>
        <v>27021927.950000003</v>
      </c>
      <c r="GH355" s="162">
        <f>GH350+GH353</f>
        <v>0</v>
      </c>
      <c r="GI355" s="162">
        <f>GI350+GI353</f>
        <v>27021927.950000003</v>
      </c>
      <c r="GK355" s="162">
        <f>GK350+GK353</f>
        <v>0</v>
      </c>
      <c r="GL355" s="162">
        <f>GL350+GL353</f>
        <v>27021927.950000003</v>
      </c>
      <c r="GN355" s="162">
        <f>GN350+GN353</f>
        <v>0</v>
      </c>
      <c r="GO355" s="162">
        <f>GO350+GO353</f>
        <v>27021927.950000003</v>
      </c>
      <c r="GQ355" s="162">
        <f>GQ350+GQ353</f>
        <v>-192300</v>
      </c>
      <c r="GR355" s="162">
        <f>GR350+GR353</f>
        <v>26829627.950000003</v>
      </c>
      <c r="GT355" s="162">
        <f>GT350+GT353</f>
        <v>-0.39999999999417923</v>
      </c>
      <c r="GU355" s="162">
        <f>GU350+GU353</f>
        <v>26829627.550000001</v>
      </c>
      <c r="GW355" s="162">
        <f>GW350+GW353</f>
        <v>-0.2000000000007276</v>
      </c>
      <c r="GX355" s="162">
        <f>GX350+GX353</f>
        <v>26829627.350000001</v>
      </c>
      <c r="GZ355" s="162">
        <f>GZ350+GZ353</f>
        <v>-206500</v>
      </c>
      <c r="HA355" s="442">
        <f>HA350+HA353</f>
        <v>26623127.350000001</v>
      </c>
      <c r="HC355" s="162">
        <f>HC350+HC353</f>
        <v>19419923.48</v>
      </c>
      <c r="HE355" s="162">
        <f>HE350+HE353</f>
        <v>13421803.911699999</v>
      </c>
      <c r="HF355" s="235">
        <f>HE355/HC355</f>
        <v>0.69113577741553489</v>
      </c>
    </row>
    <row r="356" spans="1:214">
      <c r="R356" s="118"/>
      <c r="T356" s="118"/>
      <c r="Y356" s="118"/>
      <c r="AH356" s="15"/>
      <c r="FZ356" s="15"/>
      <c r="GB356" s="15"/>
      <c r="GC356" s="15"/>
      <c r="GE356" s="15"/>
      <c r="GF356" s="15"/>
      <c r="GH356" s="15"/>
      <c r="GI356" s="15"/>
      <c r="GK356" s="15"/>
      <c r="GL356" s="15"/>
      <c r="GN356" s="15"/>
      <c r="GO356" s="15"/>
      <c r="GQ356" s="15"/>
      <c r="GR356" s="15"/>
      <c r="GT356" s="15"/>
      <c r="GU356" s="15"/>
      <c r="GW356" s="15"/>
      <c r="GX356" s="15"/>
      <c r="GZ356" s="15"/>
      <c r="HC356" s="15"/>
    </row>
    <row r="357" spans="1:214" ht="15.75">
      <c r="B357" s="362" t="s">
        <v>316</v>
      </c>
      <c r="C357" s="363" t="s">
        <v>326</v>
      </c>
      <c r="D357" s="40"/>
      <c r="E357" s="53"/>
      <c r="F357" s="40"/>
      <c r="G357" s="53"/>
      <c r="H357" s="40"/>
      <c r="I357" s="40"/>
      <c r="J357" s="52"/>
      <c r="K357" s="52" t="s">
        <v>332</v>
      </c>
      <c r="L357" s="130">
        <v>3181800</v>
      </c>
      <c r="M357" s="40">
        <f>SUBTOTAL(9,L5:L348)</f>
        <v>12585999.84</v>
      </c>
      <c r="Q357" s="130"/>
      <c r="R357" s="130"/>
      <c r="S357" s="130"/>
      <c r="T357" s="130"/>
      <c r="Y357" s="130"/>
      <c r="AH357" s="15"/>
      <c r="BJ357" s="15">
        <v>5199303</v>
      </c>
      <c r="BM357" s="347"/>
      <c r="CY357" s="347">
        <f>CY294+CY302+CY321+CY309+CY217+CY218+CY104+CY105+CY341+CY314+CY337+CY34+CY343+CY342+CY340+CY332+CY317+CY306+CY298+CY295+CY293+CY292+CY291+CY285+CY283+CY282+CY281+CY280+CY279+CY245+CY244+CY243+CY225+CY224+CY223+CY222+CY206+CY197+CY191+CY190+CY184+CY183+CY182+CY181+CY172+CY175+CY169+CY151+CY123+CY122+CY121+CY111+CY110+CY90+CY89+CY91+CY86+CY72+CY67+CY40+CY33+(ROZPOČET23návrh!B22)*(-1)</f>
        <v>3667226</v>
      </c>
      <c r="DA357" s="347">
        <f>DA294+DA302+DA321+DA309+DA217+DA218+DA104+DA105+DA341+DA314+DA337+DA34+DA343+DA342+DA340+DA332+DA317+DA306+DA298+DA295+DA293+DA292+DA291+DA285+DA283+DA282+DA281+DA280+DA279+DA245+DA244+DA243+DA225+DA224+DA223+DA222+DA206+DA197+DA191+DA190+DA184+DA183+DA182+DA181+DA172+DA175+DA169+DA151+DA123+DA122+DA121+DA111+DA110+DA90+DA89+DA91+DA86+DA72+DA67+DA40+DA33+(ROZPOČET23návrh!D22)*(-1)</f>
        <v>3783676.7399999998</v>
      </c>
      <c r="DC357" s="347">
        <f>DC294+DC302+DC321+DC309+DC217+DC218+DC104+DC105+DC341+DC314+DC337+DC34+DC343+DC342+DC340+DC332+DC317+DC306+DC298+DC295+DC293+DC292+DC291+DC285+DC283+DC282+DC281+DC280+DC279+DC245+DC244+DC243+DC225+DC224+DC223+DC222+DC206+DC197+DC191+DC190+DC184+DC183+DC182+DC181+DC172+DC175+DC169+DC151+DC123+DC122+DC121+DC111+DC110+DC90+DC89+DC91+DC86+DC72+DC67+DC40+DC33+(ROZPOČET23návrh!F22)*(-1)</f>
        <v>4422141.0999999996</v>
      </c>
      <c r="DD357" s="348">
        <f>DC357/ROZPOČET23návrh!F5</f>
        <v>0.72181723361190908</v>
      </c>
      <c r="DE357" s="347">
        <f>DE294+DE302+DE321+DE309+DE217+DE218+DE104+DE105+DE341+DE314+DE337+DE34+DE343+DE342+DE340+DE332+DE317+DE306+DE298+DE295+DE293+DE292+DE291+DE285+DE283+DE282+DE281+DE280+DE279+DE245+DE244+DE243+DE225+DE224+DE223+DE222+DE206+DE197+DE191+DE190+DE184+DE183+DE182+DE181+DE172+DE175+DE169+DE151+DE123+DE122+DE121+DE111+DE110+DE90+DE89+DE91+DE86+DE72+DE67+DE40+DE33+(ROZPOČET23návrh!H22)*(-1)</f>
        <v>0</v>
      </c>
      <c r="DF357" s="347">
        <f>DF294+DF302+DF321+DF309+DF217+DF218+DF104+DF105+DF341+DF314+DF337+DF34+DF343+DF342+DF340+DF332+DF317+DF306+DF298+DF295+DF293+DF292+DF291+DF285+DF283+DF282+DF281+DF280+DF279+DF245+DF244+DF243+DF225+DF224+DF223+DF222+DF206+DF197+DF191+DF190+DF184+DF183+DF182+DF181+DF172+DF175+DF169+DF151+DF123+DF122+DF121+DF111+DF110+DF90+DF89+DF91+DF86+DF72+DF67+DF40+DF33+(ROZPOČET23návrh!I22)*(-1)</f>
        <v>4177141.1</v>
      </c>
      <c r="DH357" s="347">
        <f>DH294+DH302+DH321+DH309+DH217+DH218+DH104+DH105+DH341+DH314+DH337+DH34+DH343+DH342+DH340+DH332+DH317+DH306+DH298+DH295+DH293+DH292+DH291+DH285+DH283+DH282+DH281+DH280+DH279+DH245+DH244+DH243+DH225+DH224+DH223+DH222+DH206+DH197+DH191+DH190+DH184+DH183+DH182+DH181+DH172+DH175+DH169+DH151+DH123+DH122+DH121+DH111+DH110+DH90+DH89+DH91+DH86+DH72+DH67+DH40+DH33+(ROZPOČET23návrh!K22)*(-1)</f>
        <v>21000</v>
      </c>
      <c r="DI357" s="347">
        <f>DI294+DI302+DI321+DI309+DI217+DI218+DI104+DI105+DI341+DI314+DI337+DI34+DI343+DI342+DI340+DI332+DI317+DI306+DI298+DI295+DI293+DI292+DI291+DI285+DI283+DI282+DI281+DI280+DI279+DI245+DI244+DI243+DI225+DI224+DI223+DI222+DI206+DI197+DI191+DI190+DI184+DI183+DI182+DI181+DI172+DI175+DI169+DI151+DI123+DI122+DI121+DI111+DI110+DI90+DI89+DI91+DI86+DI72+DI67+DI40+DI33+(ROZPOČET23návrh!L22)*(-1)</f>
        <v>4198141.0999999996</v>
      </c>
      <c r="DK357" s="347">
        <f>DK294+DK302+DK321+DK309+DK217+DK218+DK104+DK105+DK341+DK314+DK337+DK34+DK343+DK342+DK340+DK332+DK317+DK306+DK298+DK295+DK293+DK292+DK291+DK285+DK283+DK282+DK281+DK280+DK279+DK245+DK244+DK243+DK225+DK224+DK223+DK222+DK206+DK197+DK191+DK190+DK184+DK183+DK182+DK181+DK172+DK175+DK169+DK151+DK123+DK122+DK121+DK111+DK110+DK90+DK89+DK91+DK86+DK72+DK67+DK40+DK33+(ROZPOČET23návrh!N22)*(-1)</f>
        <v>0</v>
      </c>
      <c r="DL357" s="347">
        <f>DL294+DL302+DL321+DL309+DL217+DL218+DL104+DL105+DL341+DL314+DL337+DL34+DL343+DL342+DL340+DL332+DL317+DL306+DL298+DL295+DL293+DL292+DL291+DL285+DL283+DL282+DL281+DL280+DL279+DL245+DL244+DL243+DL225+DL224+DL223+DL222+DL206+DL197+DL191+DL190+DL184+DL183+DL182+DL181+DL172+DL175+DL169+DL151+DL123+DL122+DL121+DL111+DL110+DL90+DL89+DL91+DL86+DL72+DL67+DL40+DL33+(ROZPOČET23návrh!O22)*(-1)</f>
        <v>4198141.0999999996</v>
      </c>
      <c r="DN357" s="347">
        <f>DN294+DN302+DN321+DN309+DN217+DN218+DN104+DN105+DN341+DN314+DN337+DN34+DN343+DN342+DN340+DN332+DN317+DN306+DN298+DN295+DN293+DN292+DN291+DN285+DN283+DN282+DN281+DN280+DN279+DN245+DN244+DN243+DN225+DN224+DN223+DN222+DN206+DN197+DN191+DN190+DN184+DN183+DN182+DN181+DN172+DN175+DN169+DN151+DN123+DN122+DN121+DN111+DN110+DN90+DN89+DN91+DN86+DN72+DN67+DN40+DN33+(ROZPOČET23návrh!Q22)*(-1)</f>
        <v>0</v>
      </c>
      <c r="DO357" s="347">
        <f>DO294+DO302+DO321+DO309+DO217+DO218+DO104+DO105+DO341+DO314+DO337+DO34+DO343+DO342+DO340+DO332+DO317+DO306+DO298+DO295+DO293+DO292+DO291+DO285+DO283+DO282+DO281+DO280+DO279+DO245+DO244+DO243+DO225+DO224+DO223+DO222+DO206+DO197+DO191+DO190+DO184+DO183+DO182+DO181+DO172+DO175+DO169+DO151+DO123+DO122+DO121+DO111+DO110+DO90+DO89+DO91+DO86+DO72+DO67+DO40+DO33+(ROZPOČET23návrh!R22)*(-1)</f>
        <v>4198141.0999999996</v>
      </c>
      <c r="DQ357" s="347">
        <f>DQ294+DQ302+DQ321+DQ309+DQ217+DQ218+DQ104+DQ105+DQ341+DQ314+DQ337+DQ34+DQ343+DQ342+DQ340+DQ332+DQ317+DQ306+DQ298+DQ295+DQ293+DQ292+DQ291+DQ285+DQ283+DQ282+DQ281+DQ280+DQ279+DQ245+DQ244+DQ243+DQ225+DQ224+DQ223+DQ222+DQ206+DQ197+DQ191+DQ190+DQ184+DQ183+DQ182+DQ181+DQ172+DQ175+DQ169+DQ151+DQ123+DQ122+DQ121+DQ111+DQ110+DQ90+DQ89+DQ91+DQ86+DQ72+DQ67+DQ40+DQ33+(ROZPOČET23návrh!T22)*(-1)</f>
        <v>5100</v>
      </c>
      <c r="DR357" s="347">
        <f>DR294+DR302+DR321+DR309+DR217+DR218+DR104+DR105+DR341+DR314+DR337+DR34+DR343+DR342+DR340+DR332+DR317+DR306+DR298+DR295+DR293+DR292+DR291+DR285+DR283+DR282+DR281+DR280+DR279+DR245+DR244+DR243+DR225+DR224+DR223+DR222+DR206+DR197+DR191+DR190+DR184+DR183+DR182+DR181+DR172+DR175+DR169+DR151+DR123+DR122+DR121+DR111+DR110+DR90+DR89+DR91+DR86+DR72+DR67+DR40+DR33+(ROZPOČET23návrh!U22)*(-1)</f>
        <v>4203241.0999999996</v>
      </c>
      <c r="DT357" s="347">
        <f>DT294+DT302+DT321+DT309+DT217+DT218+DT104+DT105+DT341+DT314+DT337+DT34+DT343+DT342+DT340+DT332+DT317+DT306+DT298+DT295+DT293+DT292+DT291+DT285+DT283+DT282+DT281+DT280+DT279+DT245+DT244+DT243+DT225+DT224+DT223+DT222+DT206+DT197+DT191+DT190+DT184+DT183+DT182+DT181+DT172+DT175+DT169+DT151+DT123+DT122+DT121+DT111+DT110+DT90+DT89+DT91+DT86+DT72+DT67+DT40+DT33+(ROZPOČET23návrh!W22)*(-1)</f>
        <v>16200</v>
      </c>
      <c r="DU357" s="347">
        <f>DU294+DU302+DU321+DU309+DU217+DU218+DU104+DU105+DU341+DU314+DU337+DU34+DU343+DU342+DU340+DU332+DU317+DU306+DU298+DU295+DU293+DU292+DU291+DU285+DU283+DU282+DU281+DU280+DU279+DU245+DU244+DU243+DU225+DU224+DU223+DU222+DU206+DU197+DU191+DU190+DU184+DU183+DU182+DU181+DU172+DU175+DU169+DU151+DU123+DU122+DU121+DU111+DU110+DU90+DU89+DU91+DU86+DU72+DU67+DU40+DU33+(ROZPOČET23návrh!X22)*(-1)</f>
        <v>4219441.0999999996</v>
      </c>
      <c r="DW357" s="347">
        <f>DW294+DW302+DW321+DW309+DW217+DW218+DW104+DW105+DW341+DW314+DW337+DW34+DW343+DW342+DW340+DW332+DW317+DW306+DW298+DW295+DW293+DW292+DW291+DW285+DW283+DW282+DW281+DW280+DW279+DW245+DW244+DW243+DW225+DW224+DW223+DW222+DW206+DW197+DW191+DW190+DW184+DW183+DW182+DW181+DW172+DW175+DW169+DW151+DW123+DW122+DW121+DW111+DW110+DW90+DW89+DW91+DW86+DW72+DW67+DW40+DW33+(ROZPOČET23návrh!Z22)*(-1)</f>
        <v>4000</v>
      </c>
      <c r="DX357" s="347">
        <f>DX294+DX302+DX321+DX309+DX217+DX218+DX104+DX105+DX341+DX314+DX337+DX34+DX343+DX342+DX340+DX332+DX317+DX306+DX298+DX295+DX293+DX292+DX291+DX285+DX283+DX282+DX281+DX280+DX279+DX245+DX244+DX243+DX225+DX224+DX223+DX222+DX206+DX197+DX191+DX190+DX184+DX183+DX182+DX181+DX172+DX175+DX169+DX151+DX123+DX122+DX121+DX111+DX110+DX90+DX89+DX91+DX86+DX72+DX67+DX40+DX33+(ROZPOČET23návrh!AA22)*(-1)</f>
        <v>4223441.0999999996</v>
      </c>
      <c r="DZ357" s="347">
        <f>DZ294+DZ302+DZ321+DZ309+DZ217+DZ218+DZ104+DZ105+DZ341+DZ314+DZ337+DZ34+DZ343+DZ342+DZ340+DZ332+DZ317+DZ306+DZ298+DZ295+DZ293+DZ292+DZ291+DZ285+DZ283+DZ282+DZ281+DZ280+DZ279+DZ245+DZ244+DZ243+DZ225+DZ224+DZ223+DZ222+DZ206+DZ197+DZ191+DZ190+DZ184+DZ183+DZ182+DZ181+DZ172+DZ175+DZ169+DZ151+DZ123+DZ122+DZ121+DZ111+DZ110+DZ90+DZ89+DZ91+DZ86+DZ72+DZ67+DZ40+DZ33+(ROZPOČET23návrh!AC22)*(-1)</f>
        <v>-39000</v>
      </c>
      <c r="EA357" s="347">
        <f>EA294+EA302+EA321+EA309+EA217+EA218+EA104+EA105+EA341+EA314+EA337+EA34+EA343+EA342+EA340+EA332+EA317+EA306+EA298+EA295+EA293+EA292+EA291+EA285+EA283+EA282+EA281+EA280+EA279+EA245+EA244+EA243+EA225+EA224+EA223+EA222+EA206+EA197+EA191+EA190+EA184+EA183+EA182+EA181+EA172+EA175+EA169+EA151+EA123+EA122+EA121+EA111+EA110+EA90+EA89+EA91+EA86+EA72+EA67+EA40+EA33+(ROZPOČET23návrh!AD22)*(-1)</f>
        <v>4184441.1</v>
      </c>
      <c r="EC357" s="347">
        <f>EC294+EC302+EC321+EC309+EC217+EC218+EC104+EC105+EC341+EC314+EC337+EC34+EC343+EC342+EC340+EC332+EC317+EC306+EC298+EC295+EC293+EC292+EC291+EC285+EC283+EC282+EC281+EC280+EC279+EC245+EC244+EC243+EC225+EC224+EC223+EC222+EC206+EC197+EC191+EC190+EC184+EC183+EC182+EC181+EC172+EC175+EC169+EC151+EC123+EC122+EC121+EC111+EC110+EC90+EC89+EC91+EC86+EC72+EC67+EC40+EC33+(ROZPOČET23návrh!AF22)*(-1)</f>
        <v>186980</v>
      </c>
      <c r="ED357" s="347">
        <f>ED294+ED302+ED321+ED309+ED217+ED218+ED104+ED105+ED341+ED314+ED337+ED34+ED343+ED342+ED340+ED332+ED317+ED306+ED298+ED295+ED293+ED292+ED291+ED285+ED283+ED282+ED281+ED280+ED279+ED245+ED244+ED243+ED225+ED224+ED223+ED222+ED206+ED197+ED191+ED190+ED184+ED183+ED182+ED181+ED172+ED175+ED169+ED151+ED123+ED122+ED121+ED111+ED110+ED90+ED89+ED91+ED86+ED72+ED67+ED40+ED33+(ROZPOČET23návrh!AG22)*(-1)</f>
        <v>4371421.0999999996</v>
      </c>
      <c r="EF357" s="347">
        <f>EF294+EF302+EF321+EF309+EF217+EF218+EF104+EF105+EF341+EF314+EF337+EF34+EF343+EF342+EF340+EF332+EF317+EF306+EF298+EF295+EF293+EF292+EF291+EF285+EF283+EF282+EF281+EF280+EF279+EF245+EF244+EF243+EF225+EF224+EF223+EF222+EF206+EF197+EF191+EF190+EF184+EF183+EF182+EF181+EF172+EF175+EF169+EF151+EF123+EF122+EF121+EF111+EF110+EF90+EF89+EF91+EF86+EF72+EF67+EF40+EF33+(ROZPOČET23návrh!AI22)*(-1)</f>
        <v>43365</v>
      </c>
      <c r="EG357" s="347">
        <f>EG294+EG302+EG321+EG309+EG217+EG218+EG104+EG105+EG341+EG314+EG337+EG34+EG343+EG342+EG340+EG332+EG317+EG306+EG298+EG295+EG293+EG292+EG291+EG285+EG283+EG282+EG281+EG280+EG279+EG245+EG244+EG243+EG225+EG224+EG223+EG222+EG206+EG197+EG191+EG190+EG184+EG183+EG182+EG181+EG172+EG175+EG169+EG151+EG123+EG122+EG121+EG111+EG110+EG90+EG89+EG91+EG86+EG72+EG67+EG40+EG33+(ROZPOČET23návrh!AJ22)*(-1)</f>
        <v>4414786.0999999996</v>
      </c>
      <c r="EI357" s="347">
        <f>EI294+EI302+EI321+EI309+EI217+EI218+EI104+EI105+EI341+EI314+EI337+EI34+EI343+EI342+EI340+EI332+EI317+EI306+EI298+EI295+EI293+EI292+EI291+EI285+EI283+EI282+EI281+EI280+EI279+EI245+EI244+EI243+EI225+EI224+EI223+EI222+EI206+EI197+EI191+EI190+EI184+EI183+EI182+EI181+EI172+EI175+EI169+EI151+EI123+EI122+EI121+EI111+EI110+EI90+EI89+EI91+EI86+EI72+EI67+EI40+EI33+(ROZPOČET23návrh!AL22)*(-1)</f>
        <v>4295084.17</v>
      </c>
      <c r="EK357" s="347">
        <f>EK294+EK302+EK321+EK309+EK217+EK218+EK104+EK105+EK341+EK314+EK337+EK34+EK343+EK342+EK340+EK332+EK317+EK306+EK298+EK295+EK293+EK292+EK291+EK285+EK283+EK282+EK281+EK280+EK279+EK245+EK244+EK243+EK225+EK224+EK223+EK222+EK206+EK197+EK191+EK190+EK184+EK183+EK182+EK181+EK172+EK175+EK169+EK151+EK123+EK122+EK121+EK111+EK110+EK90+EK89+EK91+EK86+EK72+EK67+EK40+EK33+EK333+EK325+EK248+EK252+EK254+EK255+EK192+EK163+EK62</f>
        <v>6325220.0999999996</v>
      </c>
      <c r="EM357" s="347">
        <f>EM294+EM302+EM321+EM309+EM217+EM218+EM104+EM105+EM341+EM314+EM337+EM34+EM343+EM342+EM340+EM332+EM317+EM306+EM298+EM295+EM293+EM292+EM291+EM285+EM283+EM282+EM281+EM280+EM279+EM245+EM244+EM243+EM225+EM224+EM223+EM222+EM206+EM197+EM191+EM190+EM184+EM183+EM182+EM181+EM172+EM175+EM169+EM151+EM123+EM122+EM121+EM111+EM110+EM90+EM89+EM91+EM86+EM72+EM67+EM40+EM33+EM333+EM325+EM248+EM252+EM254+EM255+EM192+EM163+EM62</f>
        <v>63080</v>
      </c>
      <c r="EN357" s="347">
        <f>EN294+EN302+EN321+EN309+EN217+EN218+EN104+EN105+EN341+EN314+EN337+EN34+EN343+EN342+EN340+EN332+EN317+EN306+EN298+EN295+EN293+EN292+EN291+EN285+EN283+EN282+EN281+EN280+EN279+EN245+EN244+EN243+EN225+EN224+EN223+EN222+EN206+EN197+EN191+EN190+EN184+EN183+EN182+EN181+EN172+EN175+EN169+EN151+EN123+EN122+EN121+EN111+EN110+EN90+EN89+EN91+EN86+EN72+EN67+EN40+EN33+EN333+EN325+EN248+EN252+EN254+EN255+EN192+EN163+EN62</f>
        <v>6388300.0999999996</v>
      </c>
      <c r="EP357" s="347">
        <f>EP294+EP302+EP321+EP309+EP217+EP218+EP104+EP105+EP341+EP314+EP337+EP34+EP343+EP342+EP340+EP332+EP317+EP306+EP298+EP295+EP293+EP292+EP291+EP285+EP283+EP282+EP281+EP280+EP279+EP245+EP244+EP243+EP225+EP224+EP223+EP222+EP206+EP197+EP191+EP190+EP184+EP183+EP182+EP181+EP172+EP175+EP169+EP151+EP123+EP122+EP121+EP111+EP110+EP90+EP89+EP91+EP86+EP72+EP67+EP40+EP33+EP333+EP325+EP248+EP252+EP254+EP255+EP192+EP163+EP62</f>
        <v>129700</v>
      </c>
      <c r="EQ357" s="347">
        <f>EQ294+EQ302+EQ321+EQ309+EQ217+EQ218+EQ104+EQ105+EQ341+EQ314+EQ337+EQ34+EQ343+EQ342+EQ340+EQ332+EQ317+EQ306+EQ298+EQ295+EQ293+EQ292+EQ291+EQ285+EQ283+EQ282+EQ281+EQ280+EQ279+EQ245+EQ244+EQ243+EQ225+EQ224+EQ223+EQ222+EQ206+EQ197+EQ191+EQ190+EQ184+EQ183+EQ182+EQ181+EQ172+EQ175+EQ169+EQ151+EQ123+EQ122+EQ121+EQ111+EQ110+EQ90+EQ89+EQ91+EQ86+EQ72+EQ67+EQ40+EQ33+EQ333+EQ325+EQ248+EQ252+EQ254+EQ255+EQ192+EQ163+EQ62</f>
        <v>6518000.0999999996</v>
      </c>
      <c r="ES357" s="347">
        <f>ES294+ES302+ES321+ES309+ES217+ES218+ES104+ES105+ES341+ES314+ES337+ES34+ES343+ES342+ES340+ES332+ES317+ES306+ES298+ES295+ES293+ES292+ES291+ES285+ES283+ES282+ES281+ES280+ES279+ES245+ES244+ES243+ES225+ES224+ES223+ES222+ES206+ES197+ES191+ES190+ES184+ES183+ES182+ES181+ES172+ES175+ES169+ES151+ES123+ES122+ES121+ES111+ES110+ES90+ES89+ES91+ES86+ES72+ES67+ES40+ES33+ES333+ES325+ES248+ES252+ES254+ES255+ES192+ES163+ES62</f>
        <v>800</v>
      </c>
      <c r="ET357" s="347">
        <f>ET294+ET302+ET321+ET309+ET217+ET218+ET104+ET105+ET341+ET314+ET337+ET34+ET343+ET342+ET340+ET332+ET317+ET306+ET298+ET295+ET293+ET292+ET291+ET285+ET283+ET282+ET281+ET280+ET279+ET245+ET244+ET243+ET225+ET224+ET223+ET222+ET206+ET197+ET191+ET190+ET184+ET183+ET182+ET181+ET172+ET175+ET169+ET151+ET123+ET122+ET121+ET111+ET110+ET90+ET89+ET91+ET86+ET72+ET67+ET40+ET33+ET333+ET325+ET248+ET252+ET254+ET255+ET192+ET163+ET62</f>
        <v>6518800.0999999996</v>
      </c>
      <c r="EV357" s="347">
        <f>EV294+EV302+EV321+EV309+EV217+EV218+EV104+EV105+EV341+EV314+EV337+EV34+EV343+EV342+EV340+EV332+EV317+EV306+EV298+EV295+EV293+EV292+EV291+EV285+EV283+EV282+EV281+EV280+EV279+EV245+EV244+EV243+EV225+EV224+EV223+EV222+EV206+EV197+EV191+EV190+EV184+EV183+EV182+EV181+EV172+EV175+EV169+EV151+EV123+EV122+EV121+EV111+EV110+EV90+EV89+EV91+EV86+EV72+EV67+EV40+EV33+EV333+EV325+EV248+EV252+EV254+EV255+EV192+EV163+EV62</f>
        <v>-195416</v>
      </c>
      <c r="EW357" s="347">
        <f>EW294+EW302+EW321+EW309+EW217+EW218+EW104+EW105+EW341+EW314+EW337+EW34+EW343+EW342+EW340+EW332+EW317+EW306+EW298+EW295+EW293+EW292+EW291+EW285+EW283+EW282+EW281+EW280+EW279+EW245+EW244+EW243+EW225+EW224+EW223+EW222+EW206+EW197+EW191+EW190+EW184+EW183+EW182+EW181+EW172+EW175+EW169+EW151+EW123+EW122+EW121+EW111+EW110+EW90+EW89+EW91+EW86+EW72+EW67+EW40+EW33+EW333+EW325+EW248+EW252+EW254+EW255+EW192+EW163+EW62</f>
        <v>6323384.0999999996</v>
      </c>
      <c r="EY357" s="347">
        <f>EY294+EY302+EY321+EY309+EY217+EY218+EY104+EY105+EY341+EY314+EY337+EY34+EY343+EY342+EY340+EY332+EY317+EY306+EY298+EY295+EY293+EY292+EY291+EY285+EY283+EY282+EY281+EY280+EY279+EY245+EY244+EY243+EY225+EY224+EY223+EY222+EY206+EY197+EY191+EY190+EY184+EY183+EY182+EY181+EY172+EY175+EY169+EY151+EY123+EY122+EY121+EY111+EY110+EY90+EY89+EY91+EY86+EY72+EY67+EY40+EY33+EY333+EY325+EY248+EY252+EY254+EY255+EY192+EY163+EY62</f>
        <v>2500</v>
      </c>
      <c r="EZ357" s="347">
        <f>EZ294+EZ302+EZ321+EZ309+EZ217+EZ218+EZ104+EZ105+EZ341+EZ314+EZ337+EZ34+EZ343+EZ342+EZ340+EZ332+EZ317+EZ306+EZ298+EZ295+EZ293+EZ292+EZ291+EZ285+EZ283+EZ282+EZ281+EZ280+EZ279+EZ245+EZ244+EZ243+EZ225+EZ224+EZ223+EZ222+EZ206+EZ197+EZ191+EZ190+EZ184+EZ183+EZ182+EZ181+EZ172+EZ175+EZ169+EZ151+EZ123+EZ122+EZ121+EZ111+EZ110+EZ90+EZ89+EZ91+EZ86+EZ72+EZ67+EZ40+EZ33+EZ333+EZ325+EZ248+EZ252+EZ254+EZ255+EZ192+EZ163+EZ62</f>
        <v>6325884.0999999996</v>
      </c>
      <c r="FB357" s="347">
        <f>FB294+FB302+FB321+FB309+FB217+FB218+FB104+FB105+FB341+FB314+FB337+FB34+FB343+FB342+FB340+FB332+FB317+FB306+FB298+FB295+FB293+FB292+FB291+FB285+FB283+FB282+FB281+FB280+FB279+FB245+FB244+FB243+FB225+FB224+FB223+FB222+FB206+FB197+FB191+FB190+FB184+FB183+FB182+FB181+FB172+FB175+FB169+FB151+FB123+FB122+FB121+FB111+FB110+FB90+FB89+FB91+FB86+FB72+FB67+FB40+FB33+FB333+FB325+FB248+FB252+FB254+FB255+FB192+FB163+FB62</f>
        <v>92000</v>
      </c>
      <c r="FC357" s="347">
        <f>FC294+FC302+FC321+FC309+FC217+FC218+FC104+FC105+FC341+FC314+FC337+FC34+FC343+FC342+FC340+FC332+FC317+FC306+FC298+FC295+FC293+FC292+FC291+FC285+FC283+FC282+FC281+FC280+FC279+FC245+FC244+FC243+FC225+FC224+FC223+FC222+FC206+FC197+FC191+FC190+FC184+FC183+FC182+FC181+FC172+FC175+FC169+FC151+FC123+FC122+FC121+FC111+FC110+FC90+FC89+FC91+FC86+FC72+FC67+FC40+FC33+FC333+FC325+FC248+FC252+FC254+FC255+FC192+FC163+FC62</f>
        <v>6417884.0999999996</v>
      </c>
      <c r="FE357" s="347">
        <f>FE294+FE302+FE321+FE309+FE217+FE218+FE104+FE105+FE341+FE314+FE337+FE34+FE343+FE342+FE340+FE332+FE317+FE306+FE298+FE295+FE293+FE292+FE291+FE285+FE283+FE282+FE281+FE280+FE279+FE245+FE244+FE243+FE225+FE224+FE223+FE222+FE206+FE197+FE191+FE190+FE184+FE183+FE182+FE181+FE172+FE175+FE169+FE151+FE123+FE122+FE121+FE111+FE110+FE90+FE89+FE91+FE86+FE72+FE67+FE40+FE33+FE333+FE325+FE248+FE252+FE254+FE255+FE192+FE163+FE62</f>
        <v>-8000</v>
      </c>
      <c r="FF357" s="347">
        <f>FF294+FF302+FF321+FF309+FF217+FF218+FF104+FF105+FF341+FF314+FF337+FF34+FF343+FF342+FF340+FF332+FF317+FF306+FF298+FF295+FF293+FF292+FF291+FF285+FF283+FF282+FF281+FF280+FF279+FF245+FF244+FF243+FF225+FF224+FF223+FF222+FF206+FF197+FF191+FF190+FF184+FF183+FF182+FF181+FF172+FF175+FF169+FF151+FF123+FF122+FF121+FF111+FF110+FF90+FF89+FF91+FF86+FF72+FF67+FF40+FF33+FF333+FF325+FF248+FF252+FF254+FF255+FF192+FF163+FF62</f>
        <v>6409884.0999999996</v>
      </c>
      <c r="FH357" s="347">
        <f>FH294+FH302+FH321+FH309+FH217+FH218+FH104+FH105+FH341+FH314+FH337+FH34+FH343+FH342+FH340+FH332+FH317+FH306+FH298+FH295+FH293+FH292+FH291+FH285+FH283+FH282+FH281+FH280+FH279+FH245+FH244+FH243+FH225+FH224+FH223+FH222+FH206+FH197+FH191+FH190+FH184+FH183+FH182+FH181+FH172+FH175+FH169+FH151+FH123+FH122+FH121+FH111+FH110+FH90+FH89+FH91+FH86+FH72+FH67+FH40+FH33+FH333+FH325+FH248+FH252+FH254+FH255+FH192+FH163+FH62</f>
        <v>-26000</v>
      </c>
      <c r="FI357" s="347">
        <f>FI294+FI302+FI321+FI309+FI217+FI218+FI104+FI105+FI341+FI314+FI337+FI34+FI343+FI342+FI340+FI332+FI317+FI306+FI298+FI295+FI293+FI292+FI291+FI285+FI283+FI282+FI281+FI280+FI279+FI245+FI244+FI243+FI225+FI224+FI223+FI222+FI206+FI197+FI191+FI190+FI184+FI183+FI182+FI181+FI172+FI175+FI169+FI151+FI123+FI122+FI121+FI111+FI110+FI90+FI89+FI91+FI86+FI72+FI67+FI40+FI33+FI333+FI325+FI248+FI252+FI254+FI255+FI192+FI163+FI62</f>
        <v>6383884.0999999996</v>
      </c>
      <c r="FK357" s="347">
        <f>FK294+FK302+FK321+FK309+FK217+FK218+FK104+FK105+FK341+FK314+FK337+FK34+FK343+FK342+FK340+FK332+FK317+FK306+FK298+FK295+FK293+FK292+FK291+FK285+FK283+FK282+FK281+FK280+FK279+FK245+FK244+FK243+FK225+FK224+FK223+FK222+FK206+FK197+FK191+FK190+FK184+FK183+FK182+FK181+FK172+FK175+FK169+FK151+FK123+FK122+FK121+FK111+FK110+FK90+FK89+FK91+FK86+FK72+FK67+FK40+FK33+FK333+FK325+FK248+FK252+FK254+FK255+FK192+FK163+FK62</f>
        <v>137333</v>
      </c>
      <c r="FL357" s="347">
        <f>FL294+FL302+FL321+FL309+FL217+FL218+FL104+FL105+FL341+FL314+FL337+FL34+FL343+FL342+FL340+FL332+FL317+FL306+FL298+FL295+FL293+FL292+FL291+FL285+FL283+FL282+FL281+FL280+FL279+FL245+FL244+FL243+FL225+FL224+FL223+FL222+FL206+FL197+FL191+FL190+FL184+FL183+FL182+FL181+FL172+FL175+FL169+FL151+FL123+FL122+FL121+FL111+FL110+FL90+FL89+FL91+FL86+FL72+FL67+FL40+FL33+FL333+FL325+FL248+FL252+FL254+FL255+FL192+FL163+FL62</f>
        <v>6521217.0999999996</v>
      </c>
      <c r="FN357" s="347">
        <f>FN294+FN302+FN321+FN309+FN217+FN218+FN104+FN105+FN341+FN314+FN337+FN34+FN343+FN342+FN340+FN332+FN317+FN306+FN298+FN295+FN293+FN292+FN291+FN285+FN283+FN282+FN281+FN280+FN279+FN245+FN244+FN243+FN225+FN224+FN223+FN222+FN206+FN197+FN191+FN190+FN184+FN183+FN182+FN181+FN172+FN175+FN169+FN151+FN123+FN122+FN121+FN111+FN110+FN90+FN89+FN91+FN86+FN72+FN67+FN40+FN33+FN333+FN325+FN248+FN252+FN254+FN255+FN192+FN163+FN62</f>
        <v>-7300</v>
      </c>
      <c r="FO357" s="347">
        <f>FO294+FO302+FO321+FO309+FO217+FO218+FO104+FO105+FO341+FO314+FO337+FO34+FO343+FO342+FO340+FO332+FO317+FO306+FO298+FO295+FO293+FO292+FO291+FO285+FO283+FO282+FO281+FO280+FO279+FO245+FO244+FO243+FO225+FO224+FO223+FO222+FO206+FO197+FO191+FO190+FO184+FO183+FO182+FO181+FO172+FO175+FO169+FO151+FO123+FO122+FO121+FO111+FO110+FO90+FO89+FO91+FO86+FO72+FO67+FO40+FO33+FO333+FO325+FO248+FO252+FO254+FO255+FO192+FO163+FO62</f>
        <v>6513917.0999999996</v>
      </c>
      <c r="FQ357" s="347">
        <f>FQ294+FQ302+FQ321+FQ309+FQ217+FQ218+FQ104+FQ105+FQ341+FQ314+FQ337+FQ34+FQ343+FQ342+FQ340+FQ332+FQ317+FQ306+FQ298+FQ295+FQ293+FQ292+FQ291+FQ285+FQ283+FQ282+FQ281+FQ280+FQ279+FQ245+FQ244+FQ243+FQ225+FQ224+FQ223+FQ222+FQ206+FQ197+FQ191+FQ190+FQ184+FQ183+FQ182+FQ181+FQ172+FQ175+FQ169+FQ151+FQ123+FQ122+FQ121+FQ111+FQ110+FQ90+FQ89+FQ91+FQ86+FQ72+FQ67+FQ40+FQ33+FQ333+FQ325+FQ248+FQ252+FQ254+FQ255+FQ192+FQ163+FQ62</f>
        <v>10950</v>
      </c>
      <c r="FR357" s="347">
        <f>FR294+FR302+FR321+FR309+FR217+FR218+FR104+FR105+FR341+FR314+FR337+FR34+FR343+FR342+FR340+FR332+FR317+FR306+FR298+FR295+FR293+FR292+FR291+FR285+FR283+FR282+FR281+FR280+FR279+FR245+FR244+FR243+FR225+FR224+FR223+FR222+FR206+FR197+FR191+FR190+FR184+FR183+FR182+FR181+FR172+FR175+FR169+FR151+FR123+FR122+FR121+FR111+FR110+FR90+FR89+FR91+FR86+FR72+FR67+FR40+FR33+FR333+FR325+FR248+FR252+FR254+FR255+FR192+FR163+FR62</f>
        <v>6524867.0999999996</v>
      </c>
      <c r="FT357" s="347">
        <f>FT294+FT302+FT321+FT309+FT217+FT218+FT104+FT105+FT341+FT314+FT337+FT34+FT343+FT342+FT340+FT332+FT317+FT306+FT298+FT295+FT293+FT292+FT291+FT285+FT283+FT282+FT281+FT280+FT279+FT245+FT244+FT243+FT225+FT224+FT223+FT222+FT206+FT197+FT191+FT190+FT184+FT183+FT182+FT181+FT172+FT175+FT169+FT151+FT123+FT122+FT121+FT111+FT110+FT90+FT89+FT91+FT86+FT72+FT67+FT40+FT33+FT333+FT325+FT248+FT252+FT254+FT255+FT192+FT163+FT62</f>
        <v>6337295.5999999996</v>
      </c>
      <c r="FV357" s="347">
        <f>FV294+FV302+FV321+FV309+FV217+FV218+FV104+FV105+FV341+FV314+FV337+FV34+FV343+FV342+FV340+FV332+FV317+FV306+FV298+FV295+FV293+FV292+FV291+FV285+FV283+FV282+FV281+FV280+FV279+FV245+FV244+FV243+FV225+FV224+FV223+FV222+FV206+FV197+FV191+FV190+FV184+FV183+FV182+FV181+FV172+FV175+FV169+FV151+FV123+FV122+FV121+FV111+FV110+FV90+FV89+FV91+FV86+FV72+FV67+FV40+FV33+FV333+FV325+FV248+FV252+FV254+FV255+FV192+FV163+FV62</f>
        <v>5292269.4000000004</v>
      </c>
      <c r="FW357" s="235">
        <f t="shared" ref="FW357" si="1728">FV357/FT357</f>
        <v>0.8350990286771538</v>
      </c>
      <c r="FY357" s="347">
        <f>FY294+FY302+FY321+FY309+FY217+FY218+FY104+FY105+FY341+FY314+FY337+FY34+FY343+FY342+FY340+FY332+FY317+FY306+FY298+FY295+FY293+FY292+FY291+FY285+FY283+FY282+FY281+FY280+FY279+FY245+FY244+FY243+FY225+FY224+FY223+FY222+FY206+FY197+FY191+FY190+FY184+FY183+FY182+FY181+FY172+FY175+FY169+FY151+FY123+FY122+FY121+FY111+FY110+FY90+FY89+FY91+FY86+FY72+FY67+FY40+FY33+FY333+FY325+FY248+FY252+FY254+FY255+FY192+FY163+FY62</f>
        <v>7071</v>
      </c>
      <c r="FZ357" s="347">
        <f>FZ294+FZ302+FZ321+FZ309+FZ217+FZ218+FZ104+FZ105+FZ341+FZ314+FZ337+FZ34+FZ343+FZ342+FZ340+FZ332+FZ317+FZ306+FZ298+FZ295+FZ293+FZ292+FZ291+FZ285+FZ283+FZ282+FZ281+FZ280+FZ279+FZ245+FZ244+FZ243+FZ225+FZ224+FZ223+FZ222+FZ206+FZ197+FZ191+FZ190+FZ184+FZ183+FZ182+FZ181+FZ172+FZ175+FZ169+FZ151+FZ123+FZ122+FZ121+FZ111+FZ110+FZ90+FZ89+FZ91+FZ86+FZ72+FZ67+FZ40+FZ33+FZ333+FZ325+FZ248+FZ252+FZ254+FZ255+FZ192+FZ163+FZ62</f>
        <v>5299340.4000000004</v>
      </c>
      <c r="GB357" s="347">
        <f>GB294+GB302+GB321+GB309+GB217+GB218+GB104+GB105+GB341+GB314+GB337+GB34+GB343+GB342+GB340+GB332+GB317+GB306+GB298+GB295+GB293+GB292+GB291+GB285+GB283+GB282+GB281+GB280+GB279+GB245+GB244+GB243+GB225+GB224+GB223+GB222+GB206+GB197+GB191+GB190+GB184+GB183+GB182+GB181+GB172+GB175+GB169+GB151+GB123+GB122+GB121+GB111+GB110+GB90+GB89+GB91+GB86+GB72+GB67+GB40+GB33+GB333+GB325+GB248+GB252+GB254+GB255+GB192+GB163+GB62</f>
        <v>3033</v>
      </c>
      <c r="GC357" s="347">
        <f>GC294+GC302+GC321+GC309+GC217+GC218+GC104+GC105+GC341+GC314+GC337+GC34+GC343+GC342+GC340+GC332+GC317+GC306+GC298+GC295+GC293+GC292+GC291+GC285+GC283+GC282+GC281+GC280+GC279+GC245+GC244+GC243+GC225+GC224+GC223+GC222+GC206+GC197+GC191+GC190+GC184+GC183+GC182+GC181+GC172+GC175+GC169+GC151+GC123+GC122+GC121+GC111+GC110+GC90+GC89+GC91+GC86+GC72+GC67+GC40+GC33+GC333+GC325+GC248+GC252+GC254+GC255+GC192+GC163+GC62</f>
        <v>5302373.4000000004</v>
      </c>
      <c r="GE357" s="347">
        <f>GE294+GE302+GE321+GE309+GE217+GE218+GE104+GE105+GE341+GE314+GE337+GE34+GE343+GE342+GE340+GE332+GE317+GE306+GE298+GE295+GE293+GE292+GE291+GE285+GE283+GE282+GE281+GE280+GE279+GE245+GE244+GE243+GE225+GE224+GE223+GE222+GE206+GE197+GE191+GE190+GE184+GE183+GE182+GE181+GE172+GE175+GE169+GE151+GE123+GE122+GE121+GE111+GE110+GE90+GE89+GE91+GE86+GE72+GE67+GE40+GE33+GE333+GE325+GE248+GE252+GE254+GE255+GE192+GE163+GE62</f>
        <v>19731755.550000001</v>
      </c>
      <c r="GF357" s="347">
        <f>GF294+GF302+GF321+GF309+GF217+GF218+GF104+GF105+GF341+GF314+GF337+GF34+GF343+GF342+GF340+GF332+GF317+GF306+GF298+GF295+GF293+GF292+GF291+GF285+GF283+GF282+GF281+GF280+GF279+GF245+GF244+GF243+GF225+GF224+GF223+GF222+GF206+GF197+GF191+GF190+GF184+GF183+GF182+GF181+GF172+GF175+GF169+GF151+GF123+GF122+GF121+GF111+GF110+GF90+GF89+GF91+GF86+GF72+GF67+GF40+GF33+GF333+GF325+GF248+GF252+GF254+GF255+GF192+GF163+GF62</f>
        <v>25034128.950000003</v>
      </c>
      <c r="GH357" s="347">
        <f>GH294+GH302+GH321+GH309+GH217+GH218+GH104+GH105+GH341+GH314+GH337+GH34+GH343+GH342+GH340+GH332+GH317+GH306+GH298+GH295+GH293+GH292+GH291+GH285+GH283+GH282+GH281+GH280+GH279+GH245+GH244+GH243+GH225+GH224+GH223+GH222+GH206+GH197+GH191+GH190+GH184+GH183+GH182+GH181+GH172+GH175+GH169+GH151+GH123+GH122+GH121+GH111+GH110+GH90+GH89+GH91+GH86+GH72+GH67+GH40+GH33+GH333+GH325+GH248+GH252+GH254+GH255+GH192+GH163+GH62</f>
        <v>0</v>
      </c>
      <c r="GI357" s="347">
        <f>GI294+GI302+GI321+GI309+GI217+GI218+GI104+GI105+GI341+GI314+GI337+GI34+GI343+GI342+GI340+GI332+GI317+GI306+GI298+GI295+GI293+GI292+GI291+GI285+GI283+GI282+GI281+GI280+GI279+GI245+GI244+GI243+GI225+GI224+GI223+GI222+GI206+GI197+GI191+GI190+GI184+GI183+GI182+GI181+GI172+GI175+GI169+GI151+GI123+GI122+GI121+GI111+GI110+GI90+GI89+GI91+GI86+GI72+GI67+GI40+GI33+GI333+GI325+GI248+GI252+GI254+GI255+GI192+GI163+GI62</f>
        <v>25034128.950000003</v>
      </c>
      <c r="GK357" s="347">
        <f>GK294+GK302+GK321+GK309+GK217+GK218+GK104+GK105+GK341+GK314+GK337+GK34+GK343+GK342+GK340+GK332+GK317+GK306+GK298+GK295+GK293+GK292+GK291+GK285+GK283+GK282+GK281+GK280+GK279+GK245+GK244+GK243+GK225+GK224+GK223+GK222+GK206+GK197+GK191+GK190+GK184+GK183+GK182+GK181+GK172+GK175+GK169+GK151+GK123+GK122+GK121+GK111+GK110+GK90+GK89+GK91+GK86+GK72+GK67+GK40+GK33+GK333+GK325+GK248+GK252+GK254+GK255+GK192+GK163+GK62</f>
        <v>4500</v>
      </c>
      <c r="GL357" s="347">
        <f>GL294+GL302+GL321+GL309+GL217+GL218+GL104+GL105+GL341+GL314+GL337+GL34+GL343+GL342+GL340+GL332+GL317+GL306+GL298+GL295+GL293+GL292+GL291+GL285+GL283+GL282+GL281+GL280+GL279+GL245+GL244+GL243+GL225+GL224+GL223+GL222+GL206+GL197+GL191+GL190+GL184+GL183+GL182+GL181+GL172+GL175+GL169+GL151+GL123+GL122+GL121+GL111+GL110+GL90+GL89+GL91+GL86+GL72+GL67+GL40+GL33+GL333+GL325+GL248+GL252+GL254+GL255+GL192+GL163+GL62</f>
        <v>25038628.950000003</v>
      </c>
      <c r="GN357" s="347">
        <f>GN294+GN302+GN321+GN309+GN217+GN218+GN104+GN105+GN341+GN314+GN337+GN34+GN343+GN342+GN340+GN332+GN317+GN306+GN298+GN295+GN293+GN292+GN291+GN285+GN283+GN282+GN281+GN280+GN279+GN245+GN244+GN243+GN225+GN224+GN223+GN222+GN206+GN197+GN191+GN190+GN184+GN183+GN182+GN181+GN172+GN175+GN169+GN151+GN123+GN122+GN121+GN111+GN110+GN90+GN89+GN91+GN86+GN72+GN67+GN40+GN33+GN333+GN325+GN248+GN252+GN254+GN255+GN192+GN163+GN62</f>
        <v>5500</v>
      </c>
      <c r="GO357" s="347">
        <f>GO294+GO302+GO321+GO309+GO217+GO218+GO104+GO105+GO341+GO314+GO337+GO34+GO343+GO342+GO340+GO332+GO317+GO306+GO298+GO295+GO293+GO292+GO291+GO285+GO283+GO282+GO281+GO280+GO279+GO245+GO244+GO243+GO225+GO224+GO223+GO222+GO206+GO197+GO191+GO190+GO184+GO183+GO182+GO181+GO172+GO175+GO169+GO151+GO123+GO122+GO121+GO111+GO110+GO90+GO89+GO91+GO86+GO72+GO67+GO40+GO33+GO333+GO325+GO248+GO252+GO254+GO255+GO192+GO163+GO62</f>
        <v>25044128.950000003</v>
      </c>
      <c r="GQ357" s="347">
        <f>GQ294+GQ302+GQ321+GQ309+GQ217+GQ218+GQ104+GQ105+GQ341+GQ314+GQ337+GQ34+GQ343+GQ342+GQ340+GQ332+GQ317+GQ306+GQ298+GQ295+GQ293+GQ292+GQ291+GQ285+GQ283+GQ282+GQ281+GQ280+GQ279+GQ245+GQ244+GQ243+GQ225+GQ224+GQ223+GQ222+GQ206+GQ197+GQ191+GQ190+GQ184+GQ183+GQ182+GQ181+GQ172+GQ175+GQ169+GQ151+GQ123+GQ122+GQ121+GQ111+GQ110+GQ90+GQ89+GQ91+GQ86+GQ72+GQ67+GQ40+GQ33+GQ333+GQ325+GQ248+GQ252+GQ254+GQ255+GQ192+GQ163+GQ62</f>
        <v>-72500</v>
      </c>
      <c r="GR357" s="347">
        <f>GR294+GR302+GR321+GR309+GR217+GR218+GR104+GR105+GR341+GR314+GR337+GR34+GR343+GR342+GR340+GR332+GR317+GR306+GR298+GR295+GR293+GR292+GR291+GR285+GR283+GR282+GR281+GR280+GR279+GR245+GR244+GR243+GR225+GR224+GR223+GR222+GR206+GR197+GR191+GR190+GR184+GR183+GR182+GR181+GR172+GR175+GR169+GR151+GR123+GR122+GR121+GR111+GR110+GR90+GR89+GR91+GR86+GR72+GR67+GR40+GR33+GR333+GR325+GR248+GR252+GR254+GR255+GR192+GR163+GR62</f>
        <v>24971628.950000003</v>
      </c>
      <c r="GT357" s="347">
        <f>GT294+GT302+GT321+GT309+GT217+GT218+GT104+GT105+GT341+GT314+GT337+GT34+GT343+GT342+GT340+GT332+GT317+GT306+GT298+GT295+GT293+GT292+GT291+GT285+GT283+GT282+GT281+GT280+GT279+GT245+GT244+GT243+GT225+GT224+GT223+GT222+GT206+GT197+GT191+GT190+GT184+GT183+GT182+GT181+GT172+GT175+GT169+GT151+GT123+GT122+GT121+GT111+GT110+GT90+GT89+GT91+GT86+GT72+GT67+GT40+GT33+GT333+GT325+GT248+GT252+GT254+GT255+GT192+GT163+GT62</f>
        <v>102999.6</v>
      </c>
      <c r="GU357" s="347">
        <f>GU294+GU302+GU321+GU309+GU217+GU218+GU104+GU105+GU341+GU314+GU337+GU34+GU343+GU342+GU340+GU332+GU317+GU306+GU298+GU295+GU293+GU292+GU291+GU285+GU283+GU282+GU281+GU280+GU279+GU245+GU244+GU243+GU225+GU224+GU223+GU222+GU206+GU197+GU191+GU190+GU184+GU183+GU182+GU181+GU172+GU175+GU169+GU151+GU123+GU122+GU121+GU111+GU110+GU90+GU89+GU91+GU86+GU72+GU67+GU40+GU33+GU333+GU325+GU248+GU252+GU254+GU255+GU192+GU163+GU62</f>
        <v>25074628.550000001</v>
      </c>
      <c r="GW357" s="347">
        <f>GW294+GW302+GW321+GW309+GW217+GW218+GW104+GW105+GW341+GW314+GW337+GW34+GW343+GW342+GW340+GW332+GW317+GW306+GW298+GW295+GW293+GW292+GW291+GW285+GW283+GW282+GW281+GW280+GW279+GW245+GW244+GW243+GW225+GW224+GW223+GW222+GW206+GW197+GW191+GW190+GW184+GW183+GW182+GW181+GW172+GW175+GW169+GW151+GW123+GW122+GW121+GW111+GW110+GW90+GW89+GW91+GW86+GW72+GW67+GW40+GW33+GW333+GW325+GW248+GW252+GW254+GW255+GW192+GW163+GW62</f>
        <v>-17086.2</v>
      </c>
      <c r="GX357" s="347">
        <f>GX294+GX302+GX321+GX309+GX217+GX218+GX104+GX105+GX341+GX314+GX337+GX34+GX343+GX342+GX340+GX332+GX317+GX306+GX298+GX295+GX293+GX292+GX291+GX285+GX283+GX282+GX281+GX280+GX279+GX245+GX244+GX243+GX225+GX224+GX223+GX222+GX206+GX197+GX191+GX190+GX184+GX183+GX182+GX181+GX172+GX175+GX169+GX151+GX123+GX122+GX121+GX111+GX110+GX90+GX89+GX91+GX86+GX72+GX67+GX40+GX33+GX333+GX325+GX248+GX252+GX254+GX255+GX192+GX163+GX62</f>
        <v>25057542.350000001</v>
      </c>
      <c r="GZ357" s="347">
        <f>GZ294+GZ302+GZ321+GZ309+GZ217+GZ218+GZ104+GZ105+GZ341+GZ314+GZ337+GZ34+GZ343+GZ342+GZ340+GZ332+GZ317+GZ306+GZ298+GZ295+GZ293+GZ292+GZ291+GZ285+GZ283+GZ282+GZ281+GZ280+GZ279+GZ245+GZ244+GZ243+GZ225+GZ224+GZ223+GZ222+GZ206+GZ197+GZ191+GZ190+GZ184+GZ183+GZ182+GZ181+GZ172+GZ175+GZ169+GZ151+GZ123+GZ122+GZ121+GZ111+GZ110+GZ90+GZ89+GZ91+GZ86+GZ72+GZ67+GZ40+GZ33+GZ333+GZ325+GZ248+GZ252+GZ254+GZ255+GZ192+GZ163+GZ62</f>
        <v>55300</v>
      </c>
      <c r="HA357" s="443">
        <f>HA294+HA302+HA321+HA309+HA217+HA218+HA104+HA105+HA341+HA314+HA337+HA34+HA343+HA342+HA340+HA332+HA317+HA306+HA298+HA295+HA293+HA292+HA291+HA285+HA283+HA282+HA281+HA280+HA279+HA245+HA244+HA243+HA225+HA224+HA223+HA222+HA206+HA197+HA191+HA190+HA184+HA183+HA182+HA181+HA172+HA175+HA169+HA151+HA123+HA122+HA121+HA111+HA110+HA90+HA89+HA91+HA86+HA72+HA67+HA40+HA33+HA333+HA325+HA248+HA252+HA254+HA255+HA192+HA163+HA62</f>
        <v>25112842.350000001</v>
      </c>
      <c r="HC357" s="443">
        <f>HC294+HC302+HC321+HC309+HC217+HC218+HC104+HC105+HC341+HC314+HC337+HC34+HC343+HC342+HC340+HC332+HC317+HC306+HC298+HC295+HC293+HC292+HC291+HC285+HC283+HC282+HC281+HC280+HC279+HC245+HC244+HC243+HC225+HC224+HC223+HC222+HC206+HC197+HC191+HC190+HC184+HC183+HC182+HC181+HC172+HC175+HC169+HC151+HC123+HC122+HC121+HC111+HC110+HC90+HC89+HC91+HC86+HC72+HC67+HC40+HC33+HC333+HC325+HC248+HC252+HC254+HC255+HC192+HC163+HC62+HC253++HC63+HC57+HC56+HC55+HC54+HC53+HC50+HC49+HC47+HC46+HC45+HC44</f>
        <v>18239030.18</v>
      </c>
      <c r="HE357" s="443">
        <f>HE294+HE302+HE321+HE309+HE217+HE218+HE104+HE105+HE341+HE314+HE337+HE34+HE343+HE342+HE340+HE332+HE317+HE306+HE298+HE295+HE293+HE292+HE291+HE285+HE283+HE282+HE281+HE280+HE279+HE245+HE244+HE243+HE225+HE224+HE223+HE222+HE206+HE197+HE191+HE190+HE184+HE183+HE182+HE181+HE172+HE175+HE169+HE151+HE123+HE122+HE121+HE111+HE110+HE90+HE89+HE91+HE86+HE72+HE67+HE40+HE33+HE333+HE325+HE248+HE252+HE254+HE255+HE192+HE163+HE62+HE253++HE63+HE57+HE56+HE55+HE54+HE53+HE50+HE49+HE47+HE46+HE45+HE44</f>
        <v>11476867.6117</v>
      </c>
      <c r="HF357" s="235">
        <f>HE357/HC357</f>
        <v>0.62924769016967552</v>
      </c>
    </row>
    <row r="358" spans="1:214">
      <c r="AH358" s="15">
        <f>AH327+AH328</f>
        <v>1269500</v>
      </c>
    </row>
    <row r="359" spans="1:214">
      <c r="AC359" s="185">
        <f>SUM(AC5:AC358)</f>
        <v>291810</v>
      </c>
      <c r="AD359" s="185"/>
      <c r="AF359" s="184">
        <f>SUM(AF5:AF349)</f>
        <v>97550</v>
      </c>
      <c r="AH359" s="15"/>
      <c r="BJ359" s="15">
        <f>BJ350+BJ327+BJ328</f>
        <v>5454014.4800000004</v>
      </c>
    </row>
  </sheetData>
  <autoFilter ref="A4:GY43" xr:uid="{00000000-0001-0000-0C00-000000000000}"/>
  <mergeCells count="8">
    <mergeCell ref="AE3:AF3"/>
    <mergeCell ref="AA3:AB3"/>
    <mergeCell ref="A1:H1"/>
    <mergeCell ref="D2:H2"/>
    <mergeCell ref="A348:C348"/>
    <mergeCell ref="O248:O254"/>
    <mergeCell ref="C108:Q108"/>
    <mergeCell ref="C100:W100"/>
  </mergeCells>
  <phoneticPr fontId="37" type="noConversion"/>
  <pageMargins left="0.17" right="0.17" top="0.23" bottom="0.21" header="0.17" footer="0.17"/>
  <pageSetup paperSize="9"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29"/>
  <sheetViews>
    <sheetView workbookViewId="0"/>
  </sheetViews>
  <sheetFormatPr defaultRowHeight="15"/>
  <cols>
    <col min="2" max="2" width="20" bestFit="1" customWidth="1"/>
    <col min="3" max="3" width="9.140625" style="15"/>
    <col min="7" max="7" width="9.140625" style="15"/>
  </cols>
  <sheetData>
    <row r="2" spans="1:8">
      <c r="A2" t="s">
        <v>545</v>
      </c>
      <c r="G2" s="15" t="s">
        <v>537</v>
      </c>
    </row>
    <row r="3" spans="1:8">
      <c r="A3">
        <v>221</v>
      </c>
      <c r="B3" s="4" t="s">
        <v>121</v>
      </c>
      <c r="C3" s="15">
        <v>30000</v>
      </c>
      <c r="D3" t="s">
        <v>536</v>
      </c>
    </row>
    <row r="4" spans="1:8">
      <c r="C4" s="15">
        <v>100000</v>
      </c>
      <c r="D4" t="s">
        <v>535</v>
      </c>
    </row>
    <row r="5" spans="1:8">
      <c r="C5" s="289">
        <v>115000</v>
      </c>
      <c r="D5" t="s">
        <v>534</v>
      </c>
      <c r="G5" s="15">
        <v>54000</v>
      </c>
      <c r="H5" t="s">
        <v>523</v>
      </c>
    </row>
    <row r="7" spans="1:8">
      <c r="A7">
        <v>3319</v>
      </c>
      <c r="B7" t="s">
        <v>533</v>
      </c>
      <c r="C7" s="15">
        <v>0</v>
      </c>
      <c r="D7" t="s">
        <v>532</v>
      </c>
    </row>
    <row r="9" spans="1:8">
      <c r="A9">
        <v>3613</v>
      </c>
      <c r="B9" t="s">
        <v>174</v>
      </c>
      <c r="C9" s="289">
        <v>1720000</v>
      </c>
      <c r="D9" t="s">
        <v>531</v>
      </c>
      <c r="G9" s="141">
        <v>1145000</v>
      </c>
      <c r="H9" t="s">
        <v>530</v>
      </c>
    </row>
    <row r="10" spans="1:8">
      <c r="C10" s="289">
        <v>315000</v>
      </c>
      <c r="D10" t="s">
        <v>529</v>
      </c>
    </row>
    <row r="12" spans="1:8">
      <c r="A12">
        <v>3636</v>
      </c>
      <c r="B12" t="s">
        <v>507</v>
      </c>
      <c r="C12" s="289">
        <v>311000</v>
      </c>
      <c r="D12" t="s">
        <v>528</v>
      </c>
      <c r="G12" s="15">
        <v>155500</v>
      </c>
      <c r="H12" t="s">
        <v>523</v>
      </c>
    </row>
    <row r="14" spans="1:8">
      <c r="A14">
        <v>3639</v>
      </c>
      <c r="B14" t="s">
        <v>540</v>
      </c>
      <c r="C14" s="15">
        <f>Rozpis_Výdaje!BM161</f>
        <v>500000</v>
      </c>
      <c r="D14" t="s">
        <v>541</v>
      </c>
      <c r="H14" t="s">
        <v>542</v>
      </c>
    </row>
    <row r="17" spans="1:8">
      <c r="A17">
        <v>3745</v>
      </c>
      <c r="B17" t="s">
        <v>527</v>
      </c>
      <c r="C17" s="289">
        <v>1590000</v>
      </c>
      <c r="D17" t="s">
        <v>526</v>
      </c>
      <c r="G17" s="15">
        <v>1400000</v>
      </c>
      <c r="H17" t="s">
        <v>546</v>
      </c>
    </row>
    <row r="18" spans="1:8">
      <c r="C18" s="289">
        <v>35400</v>
      </c>
      <c r="D18" t="s">
        <v>538</v>
      </c>
      <c r="H18" s="15" t="s">
        <v>539</v>
      </c>
    </row>
    <row r="19" spans="1:8">
      <c r="H19" s="15"/>
    </row>
    <row r="20" spans="1:8">
      <c r="A20">
        <v>5512</v>
      </c>
      <c r="B20" t="s">
        <v>525</v>
      </c>
      <c r="C20" s="141">
        <v>29000</v>
      </c>
      <c r="D20" t="s">
        <v>524</v>
      </c>
      <c r="G20" s="15">
        <v>28500</v>
      </c>
      <c r="H20" t="s">
        <v>523</v>
      </c>
    </row>
    <row r="22" spans="1:8">
      <c r="A22">
        <v>6330</v>
      </c>
      <c r="B22" t="s">
        <v>522</v>
      </c>
      <c r="C22" s="227">
        <v>350000</v>
      </c>
      <c r="D22" t="s">
        <v>521</v>
      </c>
      <c r="G22" s="15">
        <v>90400</v>
      </c>
      <c r="H22" t="s">
        <v>520</v>
      </c>
    </row>
    <row r="25" spans="1:8">
      <c r="B25" t="s">
        <v>519</v>
      </c>
      <c r="C25" s="15">
        <f>SUM(C3:C24)</f>
        <v>5095400</v>
      </c>
      <c r="G25" s="15">
        <f>SUM(G3:G24)</f>
        <v>2873400</v>
      </c>
    </row>
    <row r="29" spans="1:8">
      <c r="B29" t="s">
        <v>543</v>
      </c>
      <c r="C29" s="15" t="s">
        <v>544</v>
      </c>
    </row>
  </sheetData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C7"/>
  <sheetViews>
    <sheetView workbookViewId="0"/>
  </sheetViews>
  <sheetFormatPr defaultRowHeight="15"/>
  <sheetData>
    <row r="2" spans="1:3">
      <c r="A2" s="15" t="s">
        <v>583</v>
      </c>
      <c r="B2" s="15">
        <v>53068</v>
      </c>
      <c r="C2" s="15">
        <f>B2*12</f>
        <v>636816</v>
      </c>
    </row>
    <row r="3" spans="1:3">
      <c r="A3" s="15" t="s">
        <v>584</v>
      </c>
      <c r="B3" s="15">
        <v>13026</v>
      </c>
      <c r="C3" s="15">
        <f t="shared" ref="C3:C6" si="0">B3*12</f>
        <v>156312</v>
      </c>
    </row>
    <row r="4" spans="1:3">
      <c r="A4" s="15" t="s">
        <v>585</v>
      </c>
      <c r="B4" s="15">
        <v>650</v>
      </c>
      <c r="C4" s="15">
        <f t="shared" si="0"/>
        <v>7800</v>
      </c>
    </row>
    <row r="5" spans="1:3">
      <c r="A5" s="15" t="s">
        <v>586</v>
      </c>
      <c r="B5" s="15">
        <v>650</v>
      </c>
      <c r="C5" s="15">
        <f t="shared" si="0"/>
        <v>7800</v>
      </c>
    </row>
    <row r="6" spans="1:3">
      <c r="A6" s="15" t="s">
        <v>587</v>
      </c>
      <c r="B6" s="15">
        <v>500</v>
      </c>
      <c r="C6" s="15">
        <f t="shared" si="0"/>
        <v>6000</v>
      </c>
    </row>
    <row r="7" spans="1:3">
      <c r="A7" s="15"/>
      <c r="B7" s="15"/>
      <c r="C7" s="15">
        <f>SUM(C2:C6)</f>
        <v>814728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workbookViewId="0">
      <selection sqref="A1:F1"/>
    </sheetView>
  </sheetViews>
  <sheetFormatPr defaultRowHeight="15"/>
  <cols>
    <col min="2" max="2" width="23.42578125" bestFit="1" customWidth="1"/>
    <col min="3" max="3" width="16.140625" customWidth="1"/>
    <col min="4" max="4" width="14.85546875" customWidth="1"/>
    <col min="5" max="5" width="16.42578125" customWidth="1"/>
    <col min="6" max="6" width="18.42578125" customWidth="1"/>
  </cols>
  <sheetData>
    <row r="1" spans="1:6" ht="23.25">
      <c r="A1" s="460" t="s">
        <v>465</v>
      </c>
      <c r="B1" s="460"/>
      <c r="C1" s="460"/>
      <c r="D1" s="460"/>
      <c r="E1" s="460"/>
      <c r="F1" s="460"/>
    </row>
    <row r="2" spans="1:6" ht="23.25">
      <c r="A2" s="460" t="s">
        <v>508</v>
      </c>
      <c r="B2" s="460"/>
      <c r="C2" s="460"/>
      <c r="D2" s="460"/>
      <c r="E2" s="460"/>
      <c r="F2" s="460"/>
    </row>
    <row r="3" spans="1:6" ht="15.75" thickBot="1"/>
    <row r="4" spans="1:6" ht="15.75">
      <c r="A4" s="84"/>
      <c r="B4" s="85"/>
      <c r="C4" s="462" t="s">
        <v>514</v>
      </c>
      <c r="D4" s="463"/>
      <c r="E4" s="462" t="s">
        <v>384</v>
      </c>
      <c r="F4" s="463"/>
    </row>
    <row r="5" spans="1:6" ht="30.75" thickBot="1">
      <c r="A5" s="86"/>
      <c r="B5" s="87" t="s">
        <v>260</v>
      </c>
      <c r="C5" s="245" t="str">
        <f>ROZPOČET23návrh!E4</f>
        <v>skutečnost 2022</v>
      </c>
      <c r="D5" s="246">
        <v>2022</v>
      </c>
      <c r="E5" s="247">
        <v>2023</v>
      </c>
      <c r="F5" s="246">
        <v>2024</v>
      </c>
    </row>
    <row r="6" spans="1:6">
      <c r="A6" s="89" t="s">
        <v>364</v>
      </c>
      <c r="B6" s="90" t="s">
        <v>365</v>
      </c>
      <c r="C6" s="250">
        <f>VÝHLED23návrh!E6</f>
        <v>6300000</v>
      </c>
      <c r="D6" s="251">
        <f>VÝHLED23návrh!F6</f>
        <v>6600000</v>
      </c>
      <c r="E6" s="251" t="e">
        <f>VÝHLED23návrh!#REF!</f>
        <v>#REF!</v>
      </c>
      <c r="F6" s="252" t="e">
        <f>VÝHLED23návrh!#REF!</f>
        <v>#REF!</v>
      </c>
    </row>
    <row r="7" spans="1:6">
      <c r="A7" s="93" t="s">
        <v>366</v>
      </c>
      <c r="B7" s="94" t="s">
        <v>367</v>
      </c>
      <c r="C7" s="253">
        <f>VÝHLED23návrh!E7</f>
        <v>500000</v>
      </c>
      <c r="D7" s="248">
        <f>VÝHLED23návrh!F7</f>
        <v>500000</v>
      </c>
      <c r="E7" s="248" t="e">
        <f>VÝHLED23návrh!#REF!</f>
        <v>#REF!</v>
      </c>
      <c r="F7" s="254" t="e">
        <f>VÝHLED23návrh!#REF!</f>
        <v>#REF!</v>
      </c>
    </row>
    <row r="8" spans="1:6">
      <c r="A8" s="93" t="s">
        <v>368</v>
      </c>
      <c r="B8" s="94" t="s">
        <v>369</v>
      </c>
      <c r="C8" s="253">
        <f>VÝHLED23návrh!E8</f>
        <v>50000</v>
      </c>
      <c r="D8" s="248">
        <f>VÝHLED23návrh!F8</f>
        <v>50000</v>
      </c>
      <c r="E8" s="248" t="e">
        <f>VÝHLED23návrh!#REF!</f>
        <v>#REF!</v>
      </c>
      <c r="F8" s="254" t="e">
        <f>VÝHLED23návrh!#REF!</f>
        <v>#REF!</v>
      </c>
    </row>
    <row r="9" spans="1:6" ht="15.75" thickBot="1">
      <c r="A9" s="96" t="s">
        <v>370</v>
      </c>
      <c r="B9" s="97" t="s">
        <v>371</v>
      </c>
      <c r="C9" s="257">
        <f>VÝHLED23návrh!E9</f>
        <v>88000</v>
      </c>
      <c r="D9" s="258">
        <f>VÝHLED23návrh!F9</f>
        <v>90000</v>
      </c>
      <c r="E9" s="258" t="e">
        <f>VÝHLED23návrh!#REF!</f>
        <v>#REF!</v>
      </c>
      <c r="F9" s="259" t="e">
        <f>VÝHLED23návrh!#REF!</f>
        <v>#REF!</v>
      </c>
    </row>
    <row r="10" spans="1:6" ht="16.5" thickBot="1">
      <c r="A10" s="267"/>
      <c r="B10" s="263" t="s">
        <v>372</v>
      </c>
      <c r="C10" s="264">
        <f>SUM(C6:C9)</f>
        <v>6938000</v>
      </c>
      <c r="D10" s="265">
        <f>SUM(D6:D9)</f>
        <v>7240000</v>
      </c>
      <c r="E10" s="265" t="e">
        <f>SUM(E6:E9)</f>
        <v>#REF!</v>
      </c>
      <c r="F10" s="266" t="e">
        <f>SUM(F6:F9)</f>
        <v>#REF!</v>
      </c>
    </row>
    <row r="11" spans="1:6">
      <c r="A11" s="89" t="s">
        <v>373</v>
      </c>
      <c r="B11" s="90" t="s">
        <v>374</v>
      </c>
      <c r="C11" s="255">
        <f>VÝHLED23návrh!E11</f>
        <v>6193000</v>
      </c>
      <c r="D11" s="249">
        <f>VÝHLED23návrh!F11</f>
        <v>6025000</v>
      </c>
      <c r="E11" s="249" t="e">
        <f>VÝHLED23návrh!#REF!</f>
        <v>#REF!</v>
      </c>
      <c r="F11" s="256" t="e">
        <f>VÝHLED23návrh!#REF!</f>
        <v>#REF!</v>
      </c>
    </row>
    <row r="12" spans="1:6" ht="15.75" thickBot="1">
      <c r="A12" s="96" t="s">
        <v>375</v>
      </c>
      <c r="B12" s="97" t="s">
        <v>376</v>
      </c>
      <c r="C12" s="257">
        <f>VÝHLED23návrh!E12</f>
        <v>500000</v>
      </c>
      <c r="D12" s="258">
        <f>VÝHLED23návrh!F12</f>
        <v>970000</v>
      </c>
      <c r="E12" s="258" t="e">
        <f>VÝHLED23návrh!#REF!</f>
        <v>#REF!</v>
      </c>
      <c r="F12" s="259" t="e">
        <f>VÝHLED23návrh!#REF!</f>
        <v>#REF!</v>
      </c>
    </row>
    <row r="13" spans="1:6" ht="16.5" thickBot="1">
      <c r="A13" s="267"/>
      <c r="B13" s="263" t="s">
        <v>377</v>
      </c>
      <c r="C13" s="264">
        <f>SUM(C11:C12)</f>
        <v>6693000</v>
      </c>
      <c r="D13" s="265">
        <f>SUM(D11:D12)</f>
        <v>6995000</v>
      </c>
      <c r="E13" s="265" t="e">
        <f>SUM(E11:E12)</f>
        <v>#REF!</v>
      </c>
      <c r="F13" s="266" t="e">
        <f>SUM(F11:F12)</f>
        <v>#REF!</v>
      </c>
    </row>
    <row r="14" spans="1:6">
      <c r="A14" s="89" t="s">
        <v>378</v>
      </c>
      <c r="B14" s="90" t="s">
        <v>379</v>
      </c>
      <c r="C14" s="244">
        <f>VÝHLED23návrh!E14</f>
        <v>0</v>
      </c>
      <c r="D14" s="268">
        <f>VÝHLED23návrh!F14</f>
        <v>0</v>
      </c>
      <c r="E14" s="268" t="e">
        <f>VÝHLED23návrh!#REF!</f>
        <v>#REF!</v>
      </c>
      <c r="F14" s="269" t="e">
        <f>VÝHLED23návrh!#REF!</f>
        <v>#REF!</v>
      </c>
    </row>
    <row r="15" spans="1:6" ht="15.75" thickBot="1">
      <c r="A15" s="96" t="s">
        <v>378</v>
      </c>
      <c r="B15" s="97" t="s">
        <v>386</v>
      </c>
      <c r="C15" s="260">
        <f>VÝHLED23návrh!E15</f>
        <v>-245000</v>
      </c>
      <c r="D15" s="261">
        <f>VÝHLED23návrh!F15</f>
        <v>-245000</v>
      </c>
      <c r="E15" s="261" t="e">
        <f>VÝHLED23návrh!#REF!</f>
        <v>#REF!</v>
      </c>
      <c r="F15" s="262" t="e">
        <f>VÝHLED23návrh!#REF!</f>
        <v>#REF!</v>
      </c>
    </row>
    <row r="16" spans="1:6" ht="16.5" thickBot="1">
      <c r="A16" s="267"/>
      <c r="B16" s="263" t="s">
        <v>380</v>
      </c>
      <c r="C16" s="264">
        <f>SUM(C14:C15)</f>
        <v>-245000</v>
      </c>
      <c r="D16" s="266">
        <f>SUM(D14:D15)</f>
        <v>-245000</v>
      </c>
      <c r="E16" s="264" t="e">
        <f>SUM(E15:E15)</f>
        <v>#REF!</v>
      </c>
      <c r="F16" s="266" t="e">
        <f>SUM(F15:F15)</f>
        <v>#REF!</v>
      </c>
    </row>
    <row r="17" spans="1:6" ht="16.5" thickBot="1">
      <c r="A17" s="270"/>
      <c r="B17" s="271" t="s">
        <v>381</v>
      </c>
      <c r="C17" s="272">
        <f>VÝHLED23návrh!E17</f>
        <v>0</v>
      </c>
      <c r="D17" s="272">
        <f>VÝHLED23návrh!F17</f>
        <v>0</v>
      </c>
      <c r="E17" s="272" t="e">
        <f>VÝHLED23návrh!#REF!</f>
        <v>#REF!</v>
      </c>
      <c r="F17" s="273" t="e">
        <f>VÝHLED23návrh!#REF!</f>
        <v>#REF!</v>
      </c>
    </row>
    <row r="19" spans="1:6" ht="15.75">
      <c r="A19" s="105" t="s">
        <v>515</v>
      </c>
    </row>
    <row r="20" spans="1:6" ht="15.75">
      <c r="A20" s="105"/>
    </row>
    <row r="21" spans="1:6" ht="15.75">
      <c r="A21" s="105"/>
    </row>
    <row r="22" spans="1:6" ht="15.75">
      <c r="A22" s="104" t="s">
        <v>513</v>
      </c>
      <c r="C22" s="131"/>
      <c r="E22" s="219" t="s">
        <v>461</v>
      </c>
    </row>
    <row r="23" spans="1:6" ht="15.75">
      <c r="A23" s="104"/>
      <c r="E23" s="219" t="s">
        <v>462</v>
      </c>
    </row>
    <row r="24" spans="1:6">
      <c r="A24" s="104" t="s">
        <v>382</v>
      </c>
      <c r="F24" t="s">
        <v>463</v>
      </c>
    </row>
  </sheetData>
  <mergeCells count="4">
    <mergeCell ref="A1:F1"/>
    <mergeCell ref="A2:F2"/>
    <mergeCell ref="C4:D4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31"/>
  <sheetViews>
    <sheetView workbookViewId="0"/>
  </sheetViews>
  <sheetFormatPr defaultColWidth="9.140625" defaultRowHeight="15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3.140625" style="204" customWidth="1"/>
    <col min="8" max="8" width="10.7109375" style="200" customWidth="1"/>
    <col min="9" max="16384" width="9.140625" style="105"/>
  </cols>
  <sheetData>
    <row r="2" spans="1:9" ht="23.25">
      <c r="A2" s="460" t="s">
        <v>510</v>
      </c>
      <c r="B2" s="460"/>
      <c r="C2" s="460"/>
      <c r="D2" s="460"/>
      <c r="E2" s="460"/>
      <c r="F2" s="460"/>
      <c r="G2" s="199"/>
    </row>
    <row r="4" spans="1:9" ht="31.5">
      <c r="A4" s="111" t="s">
        <v>263</v>
      </c>
      <c r="B4" s="111" t="s">
        <v>5</v>
      </c>
      <c r="C4" s="112" t="s">
        <v>471</v>
      </c>
      <c r="D4" s="112" t="s">
        <v>503</v>
      </c>
      <c r="E4" s="112" t="s">
        <v>504</v>
      </c>
      <c r="F4" s="113" t="s">
        <v>511</v>
      </c>
      <c r="G4" s="211" t="s">
        <v>505</v>
      </c>
      <c r="H4" s="212" t="s">
        <v>506</v>
      </c>
    </row>
    <row r="5" spans="1:9">
      <c r="A5" s="105" t="s">
        <v>265</v>
      </c>
      <c r="B5" s="105" t="s">
        <v>266</v>
      </c>
      <c r="C5" s="106">
        <f>ROZPOČET23návrh!C5</f>
        <v>5423700</v>
      </c>
      <c r="D5" s="106">
        <f>ROZPOČET23návrh!D5</f>
        <v>5759500</v>
      </c>
      <c r="E5" s="106">
        <f>ROZPOČET23návrh!E5</f>
        <v>5723404.6900000004</v>
      </c>
      <c r="F5" s="106">
        <f>ROZPOČET23návrh!F5</f>
        <v>6126400</v>
      </c>
      <c r="G5" s="201">
        <f>F5/C5-1</f>
        <v>0.12956100079281674</v>
      </c>
      <c r="H5" s="201">
        <f>F5/E5-1</f>
        <v>7.0411814615191748E-2</v>
      </c>
    </row>
    <row r="6" spans="1:9">
      <c r="A6" s="105" t="s">
        <v>267</v>
      </c>
      <c r="B6" s="105" t="s">
        <v>268</v>
      </c>
      <c r="C6" s="106">
        <f>ROZPOČET23návrh!C6</f>
        <v>514500</v>
      </c>
      <c r="D6" s="106">
        <f>ROZPOČET23návrh!D6</f>
        <v>593640</v>
      </c>
      <c r="E6" s="106">
        <f>ROZPOČET23návrh!E6</f>
        <v>435708.33</v>
      </c>
      <c r="F6" s="106">
        <f>ROZPOČET23návrh!F6</f>
        <v>514800</v>
      </c>
      <c r="G6" s="201">
        <f t="shared" ref="G6:G9" si="0">F6/C6-1</f>
        <v>5.8309037900872163E-4</v>
      </c>
      <c r="H6" s="201">
        <f t="shared" ref="H6:H15" si="1">F6/E6-1</f>
        <v>0.18152434680328455</v>
      </c>
    </row>
    <row r="7" spans="1:9">
      <c r="A7" s="105" t="s">
        <v>269</v>
      </c>
      <c r="B7" s="105" t="s">
        <v>270</v>
      </c>
      <c r="C7" s="106">
        <f>ROZPOČET23návrh!C7</f>
        <v>40000</v>
      </c>
      <c r="D7" s="106">
        <f>ROZPOČET23návrh!D7</f>
        <v>70000</v>
      </c>
      <c r="E7" s="106">
        <f>ROZPOČET23návrh!E7</f>
        <v>59144</v>
      </c>
      <c r="F7" s="106">
        <f>ROZPOČET23návrh!F7</f>
        <v>30000</v>
      </c>
      <c r="G7" s="201">
        <f>F7/C7-1</f>
        <v>-0.25</v>
      </c>
      <c r="H7" s="201">
        <f t="shared" si="1"/>
        <v>-0.49276342486135538</v>
      </c>
    </row>
    <row r="8" spans="1:9">
      <c r="A8" s="105" t="s">
        <v>271</v>
      </c>
      <c r="B8" s="105" t="s">
        <v>272</v>
      </c>
      <c r="C8" s="106">
        <f>ROZPOČET23návrh!C8</f>
        <v>1228300</v>
      </c>
      <c r="D8" s="106">
        <f>ROZPOČET23návrh!D8</f>
        <v>1377347.88</v>
      </c>
      <c r="E8" s="106">
        <f>ROZPOČET23návrh!E8</f>
        <v>1377347.92</v>
      </c>
      <c r="F8" s="106">
        <f>ROZPOČET23návrh!F8</f>
        <v>365188.89</v>
      </c>
      <c r="G8" s="201">
        <f t="shared" si="0"/>
        <v>-0.7026875437596678</v>
      </c>
      <c r="H8" s="201">
        <f t="shared" si="1"/>
        <v>-0.73486082586889157</v>
      </c>
    </row>
    <row r="9" spans="1:9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G9" s="202">
        <f t="shared" si="0"/>
        <v>-2.3605232775966156E-2</v>
      </c>
      <c r="H9" s="203">
        <f t="shared" si="1"/>
        <v>-7.362363556522733E-2</v>
      </c>
    </row>
    <row r="10" spans="1:9">
      <c r="H10" s="201"/>
    </row>
    <row r="11" spans="1:9" ht="15.75">
      <c r="A11" s="111" t="s">
        <v>273</v>
      </c>
      <c r="B11" s="111" t="s">
        <v>5</v>
      </c>
      <c r="C11" s="111"/>
      <c r="D11" s="111"/>
      <c r="E11" s="111"/>
      <c r="F11" s="114" t="s">
        <v>264</v>
      </c>
      <c r="G11" s="209"/>
      <c r="H11" s="210"/>
    </row>
    <row r="12" spans="1:9">
      <c r="A12" s="105" t="s">
        <v>274</v>
      </c>
      <c r="B12" s="105" t="s">
        <v>275</v>
      </c>
      <c r="C12" s="106">
        <f>ROZPOČET23návrh!C12</f>
        <v>7195600</v>
      </c>
      <c r="D12" s="106">
        <f>ROZPOČET23návrh!D12</f>
        <v>7479854.8899999997</v>
      </c>
      <c r="E12" s="106">
        <f>ROZPOČET23návrh!E12</f>
        <v>7594747.4400000004</v>
      </c>
      <c r="F12" s="106">
        <f>ROZPOČET23návrh!F12</f>
        <v>6251689.0999999996</v>
      </c>
      <c r="G12" s="201">
        <f t="shared" ref="G12:G15" si="2">F12/C12-1</f>
        <v>-0.13117890099505258</v>
      </c>
      <c r="H12" s="201">
        <f t="shared" si="1"/>
        <v>-0.17684042170071168</v>
      </c>
    </row>
    <row r="13" spans="1:9">
      <c r="A13" s="213" t="s">
        <v>458</v>
      </c>
      <c r="B13" s="105">
        <v>5171</v>
      </c>
      <c r="C13" s="106" t="e">
        <f>ROZPOČET23návrh!#REF!</f>
        <v>#REF!</v>
      </c>
      <c r="D13" s="106" t="e">
        <f>ROZPOČET23návrh!#REF!</f>
        <v>#REF!</v>
      </c>
      <c r="E13" s="106" t="e">
        <f>ROZPOČET23návrh!#REF!</f>
        <v>#REF!</v>
      </c>
      <c r="F13" s="106" t="e">
        <f>ROZPOČET23návrh!#REF!</f>
        <v>#REF!</v>
      </c>
      <c r="G13" s="201" t="e">
        <f t="shared" si="2"/>
        <v>#REF!</v>
      </c>
      <c r="H13" s="201" t="e">
        <f t="shared" si="1"/>
        <v>#REF!</v>
      </c>
    </row>
    <row r="14" spans="1:9">
      <c r="A14" s="105" t="s">
        <v>276</v>
      </c>
      <c r="B14" s="105" t="s">
        <v>277</v>
      </c>
      <c r="C14" s="106">
        <f>ROZPOČET23návrh!C13</f>
        <v>2057900</v>
      </c>
      <c r="D14" s="106">
        <f>ROZPOČET23návrh!D13</f>
        <v>2482600</v>
      </c>
      <c r="E14" s="106">
        <f>ROZPOČET23návrh!E13</f>
        <v>2481231</v>
      </c>
      <c r="F14" s="106">
        <f>ROZPOČET23návrh!F13</f>
        <v>539700</v>
      </c>
      <c r="G14" s="201">
        <f t="shared" si="2"/>
        <v>-0.73774235871519511</v>
      </c>
      <c r="H14" s="201">
        <f t="shared" si="1"/>
        <v>-0.78248699939667044</v>
      </c>
      <c r="I14" s="105" t="s">
        <v>457</v>
      </c>
    </row>
    <row r="15" spans="1:9" s="117" customFormat="1" ht="16.5" thickBot="1">
      <c r="A15" s="115" t="s">
        <v>262</v>
      </c>
      <c r="B15" s="115"/>
      <c r="C15" s="116">
        <f>C12+C14</f>
        <v>9253500</v>
      </c>
      <c r="D15" s="116">
        <f>D12+D14</f>
        <v>9962454.8900000006</v>
      </c>
      <c r="E15" s="116">
        <f>E12+E14</f>
        <v>10075978.440000001</v>
      </c>
      <c r="F15" s="116">
        <f>F12+F14</f>
        <v>6791389.0999999996</v>
      </c>
      <c r="G15" s="202">
        <f t="shared" si="2"/>
        <v>-0.26607347490138866</v>
      </c>
      <c r="H15" s="203">
        <f t="shared" si="1"/>
        <v>-0.32598217230802262</v>
      </c>
    </row>
    <row r="17" spans="1:8" ht="15.75" thickBot="1">
      <c r="A17" s="107" t="s">
        <v>278</v>
      </c>
      <c r="B17" s="107"/>
      <c r="C17" s="108">
        <f>C9-C15</f>
        <v>-2047000</v>
      </c>
      <c r="D17" s="108">
        <f>D9-D15</f>
        <v>-2161967.0100000007</v>
      </c>
      <c r="E17" s="108">
        <f>E9-E15</f>
        <v>-2480373.5000000009</v>
      </c>
      <c r="F17" s="108">
        <f>F9-F15</f>
        <v>244999.79000000004</v>
      </c>
      <c r="G17" s="206"/>
    </row>
    <row r="19" spans="1:8" ht="15.75">
      <c r="A19" s="111" t="s">
        <v>279</v>
      </c>
      <c r="B19" s="111" t="s">
        <v>5</v>
      </c>
      <c r="C19" s="111"/>
      <c r="D19" s="111"/>
      <c r="E19" s="111"/>
      <c r="F19" s="114" t="s">
        <v>264</v>
      </c>
      <c r="G19" s="205"/>
    </row>
    <row r="20" spans="1:8">
      <c r="A20" s="105" t="s">
        <v>280</v>
      </c>
      <c r="B20" s="105">
        <v>8115</v>
      </c>
      <c r="C20" s="106">
        <f>ROZPOČET23návrh!C19</f>
        <v>457000</v>
      </c>
      <c r="D20" s="106">
        <f>ROZPOČET23návrh!D19</f>
        <v>690667</v>
      </c>
      <c r="E20" s="106">
        <f>ROZPOČET23návrh!E19</f>
        <v>976079</v>
      </c>
      <c r="F20" s="106">
        <f>ROZPOČET23návrh!F19</f>
        <v>0</v>
      </c>
    </row>
    <row r="21" spans="1:8">
      <c r="A21" s="105" t="s">
        <v>362</v>
      </c>
      <c r="B21" s="105">
        <v>8115</v>
      </c>
      <c r="C21" s="106">
        <f>ROZPOČET23návrh!C20</f>
        <v>0</v>
      </c>
      <c r="D21" s="106">
        <f>ROZPOČET23návrh!D20</f>
        <v>0</v>
      </c>
      <c r="E21" s="106">
        <f>ROZPOČET23návrh!E20</f>
        <v>0</v>
      </c>
      <c r="F21" s="106">
        <f>ROZPOČET23návrh!F20</f>
        <v>0</v>
      </c>
    </row>
    <row r="22" spans="1:8">
      <c r="A22" s="105" t="s">
        <v>358</v>
      </c>
      <c r="B22" s="105">
        <v>8123</v>
      </c>
      <c r="C22" s="106">
        <f>ROZPOČET23návrh!C21</f>
        <v>1590000</v>
      </c>
      <c r="D22" s="106">
        <f>ROZPOČET23návrh!D21</f>
        <v>1625000</v>
      </c>
      <c r="E22" s="106">
        <f>ROZPOČET23návrh!E21</f>
        <v>1624667</v>
      </c>
      <c r="F22" s="106">
        <f>ROZPOČET23návrh!F21</f>
        <v>0</v>
      </c>
    </row>
    <row r="23" spans="1:8" s="117" customFormat="1" ht="17.25" customHeight="1" thickBot="1">
      <c r="A23" s="115" t="s">
        <v>359</v>
      </c>
      <c r="B23" s="115"/>
      <c r="C23" s="116">
        <f>SUM(C20:C22)</f>
        <v>2047000</v>
      </c>
      <c r="D23" s="116">
        <f>SUM(D20:D22)</f>
        <v>2315667</v>
      </c>
      <c r="E23" s="116">
        <f>SUM(E20:E22)</f>
        <v>2600746</v>
      </c>
      <c r="F23" s="116">
        <f>SUM(F20:F22)</f>
        <v>0</v>
      </c>
      <c r="G23" s="207"/>
      <c r="H23" s="208"/>
    </row>
    <row r="25" spans="1:8" ht="15.75" thickBot="1">
      <c r="A25" s="109" t="s">
        <v>360</v>
      </c>
      <c r="B25" s="109"/>
      <c r="C25" s="110">
        <f>C9-C15+C23</f>
        <v>0</v>
      </c>
      <c r="D25" s="110">
        <f>D9-D15+D23</f>
        <v>153699.98999999929</v>
      </c>
      <c r="E25" s="110">
        <f>E9-E15+E23</f>
        <v>120372.49999999907</v>
      </c>
      <c r="F25" s="110">
        <f>F9-F15+F23</f>
        <v>244999.79000000004</v>
      </c>
    </row>
    <row r="27" spans="1:8">
      <c r="A27" s="105" t="s">
        <v>512</v>
      </c>
    </row>
    <row r="29" spans="1:8">
      <c r="A29" s="104" t="s">
        <v>509</v>
      </c>
      <c r="B29" s="132"/>
      <c r="E29" s="219" t="s">
        <v>461</v>
      </c>
    </row>
    <row r="30" spans="1:8">
      <c r="A30" s="104"/>
      <c r="E30" s="219" t="s">
        <v>462</v>
      </c>
    </row>
    <row r="31" spans="1:8">
      <c r="A31" s="104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workbookViewId="0">
      <selection sqref="A1:F1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</cols>
  <sheetData>
    <row r="1" spans="1:7" ht="23.25" customHeight="1">
      <c r="A1" s="464" t="s">
        <v>465</v>
      </c>
      <c r="B1" s="464"/>
      <c r="C1" s="464"/>
      <c r="D1" s="464"/>
      <c r="E1" s="464"/>
      <c r="F1" s="464"/>
      <c r="G1" s="334"/>
    </row>
    <row r="2" spans="1:7" ht="23.25">
      <c r="A2" s="460" t="s">
        <v>566</v>
      </c>
      <c r="B2" s="460"/>
      <c r="C2" s="460"/>
      <c r="D2" s="460"/>
      <c r="E2" s="460"/>
      <c r="F2" s="460"/>
    </row>
    <row r="3" spans="1:7" ht="15.75" thickBot="1"/>
    <row r="4" spans="1:7" ht="15.75">
      <c r="A4" s="454"/>
      <c r="B4" s="456" t="s">
        <v>260</v>
      </c>
      <c r="C4" s="364" t="s">
        <v>590</v>
      </c>
      <c r="D4" s="366" t="s">
        <v>598</v>
      </c>
      <c r="E4" s="462" t="s">
        <v>599</v>
      </c>
      <c r="F4" s="463"/>
    </row>
    <row r="5" spans="1:7" ht="16.5" thickBot="1">
      <c r="A5" s="455"/>
      <c r="B5" s="457"/>
      <c r="C5" s="365">
        <v>2022</v>
      </c>
      <c r="D5" s="365">
        <v>2023</v>
      </c>
      <c r="E5" s="216">
        <v>2024</v>
      </c>
      <c r="F5" s="88">
        <v>2025</v>
      </c>
    </row>
    <row r="6" spans="1:7">
      <c r="A6" s="89" t="s">
        <v>364</v>
      </c>
      <c r="B6" s="356" t="s">
        <v>365</v>
      </c>
      <c r="C6" s="352">
        <f>ROZPOČETschváleno!E5</f>
        <v>5723404.6900000004</v>
      </c>
      <c r="D6" s="352">
        <f>ROZPOČETschváleno!F5</f>
        <v>6126400</v>
      </c>
      <c r="E6" s="91">
        <v>6300000</v>
      </c>
      <c r="F6" s="92">
        <v>6600000</v>
      </c>
    </row>
    <row r="7" spans="1:7">
      <c r="A7" s="93" t="s">
        <v>366</v>
      </c>
      <c r="B7" s="357" t="s">
        <v>367</v>
      </c>
      <c r="C7" s="352">
        <f>ROZPOČETschváleno!E6</f>
        <v>435708.33</v>
      </c>
      <c r="D7" s="352">
        <f>ROZPOČETschváleno!F6</f>
        <v>514800</v>
      </c>
      <c r="E7" s="95">
        <v>500000</v>
      </c>
      <c r="F7" s="217">
        <v>500000</v>
      </c>
    </row>
    <row r="8" spans="1:7">
      <c r="A8" s="93" t="s">
        <v>368</v>
      </c>
      <c r="B8" s="357" t="s">
        <v>369</v>
      </c>
      <c r="C8" s="352">
        <f>ROZPOČETschváleno!E7</f>
        <v>59144</v>
      </c>
      <c r="D8" s="352">
        <f>ROZPOČETschváleno!F7</f>
        <v>30000</v>
      </c>
      <c r="E8" s="95">
        <v>50000</v>
      </c>
      <c r="F8" s="217">
        <v>50000</v>
      </c>
    </row>
    <row r="9" spans="1:7" ht="15.75" thickBot="1">
      <c r="A9" s="96" t="s">
        <v>370</v>
      </c>
      <c r="B9" s="358" t="s">
        <v>371</v>
      </c>
      <c r="C9" s="352">
        <f>ROZPOČETschváleno!E8</f>
        <v>1377347.92</v>
      </c>
      <c r="D9" s="352">
        <f>ROZPOČETschváleno!F8</f>
        <v>365188.89</v>
      </c>
      <c r="E9" s="98">
        <v>88000</v>
      </c>
      <c r="F9" s="99">
        <v>90000</v>
      </c>
    </row>
    <row r="10" spans="1:7" ht="17.25" thickTop="1" thickBot="1">
      <c r="A10" s="100"/>
      <c r="B10" s="359" t="s">
        <v>372</v>
      </c>
      <c r="C10" s="353">
        <f>SUM(C6:C9)</f>
        <v>7595604.9400000004</v>
      </c>
      <c r="D10" s="102">
        <f>SUM(D6:D9)</f>
        <v>7036388.8899999997</v>
      </c>
      <c r="E10" s="101">
        <f>SUM(E6:E9)</f>
        <v>6938000</v>
      </c>
      <c r="F10" s="102">
        <f>SUM(F6:F9)</f>
        <v>7240000</v>
      </c>
    </row>
    <row r="11" spans="1:7" ht="15.75" thickTop="1">
      <c r="A11" s="89" t="s">
        <v>373</v>
      </c>
      <c r="B11" s="356" t="s">
        <v>374</v>
      </c>
      <c r="C11" s="352">
        <f>ROZPOČETschváleno!E12</f>
        <v>7594747.4400000004</v>
      </c>
      <c r="D11" s="352">
        <f>ROZPOČETschváleno!F12</f>
        <v>6251689.0999999996</v>
      </c>
      <c r="E11" s="91">
        <f>5758000+435000</f>
        <v>6193000</v>
      </c>
      <c r="F11" s="92">
        <f>267000+5758000</f>
        <v>6025000</v>
      </c>
    </row>
    <row r="12" spans="1:7" ht="15.75" thickBot="1">
      <c r="A12" s="96" t="s">
        <v>375</v>
      </c>
      <c r="B12" s="358" t="s">
        <v>376</v>
      </c>
      <c r="C12" s="352">
        <f>ROZPOČETschváleno!E13</f>
        <v>2481231</v>
      </c>
      <c r="D12" s="352">
        <f>ROZPOČETschváleno!F13</f>
        <v>539700</v>
      </c>
      <c r="E12" s="98">
        <v>500000</v>
      </c>
      <c r="F12" s="99">
        <v>970000</v>
      </c>
    </row>
    <row r="13" spans="1:7" ht="17.25" thickTop="1" thickBot="1">
      <c r="A13" s="100"/>
      <c r="B13" s="359" t="s">
        <v>377</v>
      </c>
      <c r="C13" s="353">
        <f>SUM(C11:C12)</f>
        <v>10075978.440000001</v>
      </c>
      <c r="D13" s="102">
        <f>SUM(D11:D12)</f>
        <v>6791389.0999999996</v>
      </c>
      <c r="E13" s="101">
        <f>SUM(E11:E12)</f>
        <v>6693000</v>
      </c>
      <c r="F13" s="102">
        <f>SUM(F11:F12)</f>
        <v>6995000</v>
      </c>
    </row>
    <row r="14" spans="1:7" ht="15.75" thickTop="1">
      <c r="A14" s="89" t="s">
        <v>378</v>
      </c>
      <c r="B14" s="356" t="s">
        <v>379</v>
      </c>
      <c r="C14" s="352">
        <f>ROZPOČETschváleno!E19+ROZPOČETschváleno!E21</f>
        <v>2600746</v>
      </c>
      <c r="D14" s="351"/>
      <c r="E14" s="215">
        <v>0</v>
      </c>
      <c r="F14" s="218">
        <v>0</v>
      </c>
    </row>
    <row r="15" spans="1:7" ht="15.75" thickBot="1">
      <c r="A15" s="96" t="s">
        <v>378</v>
      </c>
      <c r="B15" s="358" t="s">
        <v>386</v>
      </c>
      <c r="C15" s="361">
        <f>ROZPOČETschváleno!E22</f>
        <v>-120372</v>
      </c>
      <c r="D15" s="361">
        <f>ROZPOČETschváleno!F22</f>
        <v>-245000</v>
      </c>
      <c r="E15" s="91">
        <v>-245000</v>
      </c>
      <c r="F15" s="92">
        <v>-245000</v>
      </c>
      <c r="G15" t="s">
        <v>567</v>
      </c>
    </row>
    <row r="16" spans="1:7" ht="17.25" thickTop="1" thickBot="1">
      <c r="A16" s="100"/>
      <c r="B16" s="359" t="s">
        <v>380</v>
      </c>
      <c r="C16" s="354">
        <f>SUM(C15:C15)</f>
        <v>-120372</v>
      </c>
      <c r="D16" s="102">
        <f>SUM(D15:D15)</f>
        <v>-245000</v>
      </c>
      <c r="E16" s="102">
        <f>SUM(E15:E15)</f>
        <v>-245000</v>
      </c>
      <c r="F16" s="102">
        <f>SUM(F15:F15)</f>
        <v>-245000</v>
      </c>
    </row>
    <row r="17" spans="1:6" ht="17.25" thickTop="1" thickBot="1">
      <c r="A17" s="103"/>
      <c r="B17" s="360" t="s">
        <v>381</v>
      </c>
      <c r="C17" s="355">
        <f>C10+C16-C13+C14</f>
        <v>0.49999999906867743</v>
      </c>
      <c r="D17" s="355">
        <f t="shared" ref="D17:F17" si="0">D10+D16-D13+D14</f>
        <v>-0.2099999999627471</v>
      </c>
      <c r="E17" s="355">
        <f>E10+E16-E13+E14</f>
        <v>0</v>
      </c>
      <c r="F17" s="355">
        <f t="shared" si="0"/>
        <v>0</v>
      </c>
    </row>
    <row r="19" spans="1:6" ht="15.75">
      <c r="A19" s="105" t="s">
        <v>597</v>
      </c>
    </row>
    <row r="20" spans="1:6" ht="15.75">
      <c r="A20" s="105"/>
    </row>
    <row r="21" spans="1:6">
      <c r="A21" s="104" t="s">
        <v>596</v>
      </c>
    </row>
    <row r="22" spans="1:6" ht="15.75">
      <c r="A22" s="104"/>
      <c r="E22" s="131"/>
      <c r="F22" s="219" t="s">
        <v>461</v>
      </c>
    </row>
    <row r="23" spans="1:6" ht="15.75">
      <c r="A23" s="104"/>
      <c r="F23" s="219" t="s">
        <v>462</v>
      </c>
    </row>
    <row r="24" spans="1:6">
      <c r="A24" s="104" t="s">
        <v>382</v>
      </c>
    </row>
  </sheetData>
  <mergeCells count="5">
    <mergeCell ref="A2:F2"/>
    <mergeCell ref="A4:A5"/>
    <mergeCell ref="B4:B5"/>
    <mergeCell ref="E4:F4"/>
    <mergeCell ref="A1:F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76B0-F71F-4F33-A23E-D8F50EDD1E80}">
  <sheetPr>
    <tabColor rgb="FF92D050"/>
    <pageSetUpPr fitToPage="1"/>
  </sheetPr>
  <dimension ref="A2:AA38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hidden="1" customWidth="1" outlineLevel="1"/>
    <col min="15" max="15" width="14.7109375" style="105" hidden="1" customWidth="1" outlineLevel="1"/>
    <col min="16" max="16" width="3.5703125" style="105" hidden="1" customWidth="1" outlineLevel="1"/>
    <col min="17" max="17" width="16.140625" style="105" hidden="1" customWidth="1" outlineLevel="1"/>
    <col min="18" max="18" width="16" style="105" hidden="1" customWidth="1" outlineLevel="1"/>
    <col min="19" max="19" width="6" style="105" hidden="1" customWidth="1" outlineLevel="1"/>
    <col min="20" max="20" width="15.7109375" style="105" hidden="1" customWidth="1" outlineLevel="1"/>
    <col min="21" max="21" width="16.5703125" style="105" hidden="1" customWidth="1" outlineLevel="1"/>
    <col min="22" max="22" width="3.42578125" style="105" customWidth="1" collapsed="1"/>
    <col min="23" max="23" width="16.28515625" style="105" customWidth="1"/>
    <col min="24" max="24" width="15.7109375" style="105" customWidth="1"/>
    <col min="25" max="25" width="3.140625" style="105" customWidth="1"/>
    <col min="26" max="26" width="16.28515625" style="105" customWidth="1"/>
    <col min="27" max="27" width="15.7109375" style="105" customWidth="1"/>
    <col min="28" max="16384" width="9.140625" style="105"/>
  </cols>
  <sheetData>
    <row r="2" spans="1:27" ht="15.75">
      <c r="A2" s="465" t="s">
        <v>594</v>
      </c>
      <c r="B2" s="465"/>
      <c r="C2" s="465"/>
      <c r="D2" s="465"/>
      <c r="E2" s="465"/>
      <c r="F2" s="465"/>
    </row>
    <row r="3" spans="1:27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  <c r="T3" s="117" t="s">
        <v>623</v>
      </c>
      <c r="U3" s="117"/>
      <c r="W3" s="117" t="s">
        <v>627</v>
      </c>
      <c r="X3" s="117"/>
      <c r="Z3" s="117" t="s">
        <v>635</v>
      </c>
      <c r="AA3" s="117"/>
    </row>
    <row r="4" spans="1:27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  <c r="T4" s="368" t="s">
        <v>472</v>
      </c>
      <c r="U4" s="368" t="s">
        <v>473</v>
      </c>
      <c r="W4" s="368" t="s">
        <v>472</v>
      </c>
      <c r="X4" s="368" t="s">
        <v>473</v>
      </c>
      <c r="Z4" s="368" t="s">
        <v>472</v>
      </c>
      <c r="AA4" s="368" t="s">
        <v>473</v>
      </c>
    </row>
    <row r="5" spans="1:27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  <c r="T5" s="106">
        <f>Rozpis_Příjmy!DG22</f>
        <v>0</v>
      </c>
      <c r="U5" s="106">
        <f>Rozpis_Příjmy!DH22</f>
        <v>6140400</v>
      </c>
      <c r="W5" s="106">
        <f>Rozpis_Příjmy!DJ22</f>
        <v>120000</v>
      </c>
      <c r="X5" s="106">
        <f>Rozpis_Příjmy!DK22</f>
        <v>6260400</v>
      </c>
      <c r="Z5" s="106">
        <f>Rozpis_Příjmy!DM22</f>
        <v>-105648</v>
      </c>
      <c r="AA5" s="106">
        <f>Rozpis_Příjmy!DN22</f>
        <v>6154752</v>
      </c>
    </row>
    <row r="6" spans="1:27">
      <c r="A6" s="105" t="s">
        <v>267</v>
      </c>
      <c r="B6" s="105" t="s">
        <v>268</v>
      </c>
      <c r="C6" s="106">
        <f>Rozpis_Příjmy!BO122</f>
        <v>514500</v>
      </c>
      <c r="D6" s="106">
        <f>Rozpis_Příjmy!CN122</f>
        <v>593640</v>
      </c>
      <c r="E6" s="106">
        <f>Rozpis_Příjmy!CP122</f>
        <v>435708.33</v>
      </c>
      <c r="F6" s="106">
        <f>Rozpis_Příjmy!CR122</f>
        <v>514800</v>
      </c>
      <c r="H6" s="106">
        <f>Rozpis_Příjmy!CU122</f>
        <v>-150000</v>
      </c>
      <c r="I6" s="106">
        <f>Rozpis_Příjmy!CV122</f>
        <v>364800</v>
      </c>
      <c r="K6" s="106">
        <f>Rozpis_Příjmy!CX122</f>
        <v>13000</v>
      </c>
      <c r="L6" s="106">
        <f>Rozpis_Příjmy!CY122</f>
        <v>377800</v>
      </c>
      <c r="N6" s="106">
        <f>Rozpis_Příjmy!DA122</f>
        <v>249450</v>
      </c>
      <c r="O6" s="106">
        <f>Rozpis_Příjmy!DB122</f>
        <v>627250</v>
      </c>
      <c r="Q6" s="106">
        <f>Rozpis_Příjmy!DD122</f>
        <v>16500</v>
      </c>
      <c r="R6" s="106">
        <f>Rozpis_Příjmy!DE122</f>
        <v>643750</v>
      </c>
      <c r="T6" s="106">
        <f>Rozpis_Příjmy!DG122</f>
        <v>155000</v>
      </c>
      <c r="U6" s="106">
        <f>Rozpis_Příjmy!DH122</f>
        <v>798750</v>
      </c>
      <c r="W6" s="106">
        <f>Rozpis_Příjmy!DJ122</f>
        <v>15000</v>
      </c>
      <c r="X6" s="106">
        <f>Rozpis_Příjmy!DK122</f>
        <v>813750</v>
      </c>
      <c r="Z6" s="106">
        <f>Rozpis_Příjmy!DM122</f>
        <v>8000</v>
      </c>
      <c r="AA6" s="106">
        <f>Rozpis_Příjmy!DN122</f>
        <v>821750</v>
      </c>
    </row>
    <row r="7" spans="1:27">
      <c r="A7" s="105" t="s">
        <v>269</v>
      </c>
      <c r="B7" s="105" t="s">
        <v>270</v>
      </c>
      <c r="C7" s="106">
        <f>Rozpis_Příjmy!BO99</f>
        <v>40000</v>
      </c>
      <c r="D7" s="106">
        <f>Rozpis_Příjmy!CN99</f>
        <v>70000</v>
      </c>
      <c r="E7" s="106">
        <f>Rozpis_Příjmy!CP99</f>
        <v>59144</v>
      </c>
      <c r="F7" s="106">
        <f>Rozpis_Příjmy!CR99</f>
        <v>30000</v>
      </c>
      <c r="H7" s="106">
        <f>Rozpis_Příjmy!CU99</f>
        <v>150000</v>
      </c>
      <c r="I7" s="106">
        <f>Rozpis_Příjmy!CV99</f>
        <v>180000</v>
      </c>
      <c r="K7" s="106">
        <f>Rozpis_Příjmy!CX99</f>
        <v>0</v>
      </c>
      <c r="L7" s="106">
        <f>Rozpis_Příjmy!CY99</f>
        <v>180000</v>
      </c>
      <c r="N7" s="106">
        <f>Rozpis_Příjmy!DA99</f>
        <v>0</v>
      </c>
      <c r="O7" s="106">
        <f>Rozpis_Příjmy!DB99</f>
        <v>180000</v>
      </c>
      <c r="Q7" s="106">
        <f>Rozpis_Příjmy!DD99</f>
        <v>11500</v>
      </c>
      <c r="R7" s="106">
        <f>Rozpis_Příjmy!DE99</f>
        <v>191500</v>
      </c>
      <c r="T7" s="106">
        <f>Rozpis_Příjmy!DG99</f>
        <v>0</v>
      </c>
      <c r="U7" s="106">
        <f>Rozpis_Příjmy!DH99</f>
        <v>191500</v>
      </c>
      <c r="W7" s="106">
        <f>Rozpis_Příjmy!DJ99</f>
        <v>0</v>
      </c>
      <c r="X7" s="106">
        <f>Rozpis_Příjmy!DK99</f>
        <v>191500</v>
      </c>
      <c r="Z7" s="106">
        <f>Rozpis_Příjmy!DM99</f>
        <v>0</v>
      </c>
      <c r="AA7" s="106">
        <f>Rozpis_Příjmy!DN99</f>
        <v>191500</v>
      </c>
    </row>
    <row r="8" spans="1:27">
      <c r="A8" s="105" t="s">
        <v>271</v>
      </c>
      <c r="B8" s="105" t="s">
        <v>272</v>
      </c>
      <c r="C8" s="106">
        <f>Rozpis_Příjmy!BO35</f>
        <v>1228300</v>
      </c>
      <c r="D8" s="106">
        <f>Rozpis_Příjmy!CN35</f>
        <v>1377347.88</v>
      </c>
      <c r="E8" s="106">
        <f>Rozpis_Příjmy!CP35</f>
        <v>1377347.92</v>
      </c>
      <c r="F8" s="106">
        <f>Rozpis_Příjmy!CR35</f>
        <v>365188.89</v>
      </c>
      <c r="H8" s="106">
        <f>Rozpis_Příjmy!CU35</f>
        <v>0</v>
      </c>
      <c r="I8" s="106">
        <f>Rozpis_Příjmy!CV35</f>
        <v>365188.89</v>
      </c>
      <c r="K8" s="106">
        <f>Rozpis_Příjmy!CX35</f>
        <v>129761</v>
      </c>
      <c r="L8" s="106">
        <f>Rozpis_Příjmy!CY35</f>
        <v>494949.89</v>
      </c>
      <c r="N8" s="106">
        <f>Rozpis_Příjmy!DA35</f>
        <v>995684</v>
      </c>
      <c r="O8" s="106">
        <f>Rozpis_Příjmy!DB35</f>
        <v>1490633.8900000001</v>
      </c>
      <c r="Q8" s="106">
        <f>Rozpis_Příjmy!DD35</f>
        <v>96000</v>
      </c>
      <c r="R8" s="106">
        <f>Rozpis_Příjmy!DE35</f>
        <v>1586633.8900000001</v>
      </c>
      <c r="T8" s="106">
        <f>Rozpis_Příjmy!DG35</f>
        <v>22000</v>
      </c>
      <c r="U8" s="106">
        <f>Rozpis_Příjmy!DH35</f>
        <v>1608633.8900000001</v>
      </c>
      <c r="W8" s="106">
        <f>Rozpis_Příjmy!DJ35</f>
        <v>0</v>
      </c>
      <c r="X8" s="106">
        <f>Rozpis_Příjmy!DK35</f>
        <v>1608633.8900000001</v>
      </c>
      <c r="Z8" s="106">
        <f>Rozpis_Příjmy!DM35</f>
        <v>15948</v>
      </c>
      <c r="AA8" s="106">
        <f>Rozpis_Příjmy!DN35</f>
        <v>1624581.8900000001</v>
      </c>
    </row>
    <row r="9" spans="1:27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  <c r="T9" s="116">
        <f>SUM(T5:T8)</f>
        <v>177000</v>
      </c>
      <c r="U9" s="116">
        <f>SUM(U5:U8)</f>
        <v>8739283.8900000006</v>
      </c>
      <c r="W9" s="116">
        <f>SUM(W5:W8)</f>
        <v>135000</v>
      </c>
      <c r="X9" s="116">
        <f>SUM(X5:X8)</f>
        <v>8874283.8900000006</v>
      </c>
      <c r="Z9" s="116">
        <f>SUM(Z5:Z8)</f>
        <v>-81700</v>
      </c>
      <c r="AA9" s="116">
        <f>SUM(AA5:AA8)</f>
        <v>8792583.8900000006</v>
      </c>
    </row>
    <row r="10" spans="1:27">
      <c r="H10" s="106"/>
      <c r="I10" s="106"/>
      <c r="K10" s="106"/>
      <c r="L10" s="106"/>
      <c r="N10" s="106"/>
      <c r="O10" s="106"/>
      <c r="Q10" s="106"/>
      <c r="R10" s="106"/>
      <c r="T10" s="106"/>
      <c r="U10" s="106"/>
      <c r="W10" s="106"/>
      <c r="X10" s="106"/>
      <c r="Z10" s="106"/>
      <c r="AA10" s="106"/>
    </row>
    <row r="11" spans="1:27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  <c r="T11" s="114"/>
      <c r="U11" s="114"/>
      <c r="W11" s="114"/>
      <c r="X11" s="114"/>
      <c r="Z11" s="114"/>
      <c r="AA11" s="114"/>
    </row>
    <row r="12" spans="1:27">
      <c r="A12" s="105" t="s">
        <v>274</v>
      </c>
      <c r="B12" s="105" t="s">
        <v>275</v>
      </c>
      <c r="C12" s="106">
        <f>Rozpis_Výdaje!BM350</f>
        <v>7195600</v>
      </c>
      <c r="D12" s="106">
        <f>Rozpis_Výdaje!CY350</f>
        <v>7479854.8899999997</v>
      </c>
      <c r="E12" s="106">
        <f>Rozpis_Výdaje!DA350</f>
        <v>7594747.4400000004</v>
      </c>
      <c r="F12" s="106">
        <f>Rozpis_Výdaje!DC350</f>
        <v>6251689.0999999996</v>
      </c>
      <c r="H12" s="106">
        <f>Rozpis_Výdaje!DE350</f>
        <v>0</v>
      </c>
      <c r="I12" s="106">
        <f>Rozpis_Výdaje!DF350</f>
        <v>6251689.0999999996</v>
      </c>
      <c r="K12" s="106">
        <f>Rozpis_Výdaje!DH350</f>
        <v>57325</v>
      </c>
      <c r="L12" s="106">
        <f>Rozpis_Výdaje!DI350</f>
        <v>6309014.0999999996</v>
      </c>
      <c r="N12" s="106">
        <f>Rozpis_Výdaje!DK350</f>
        <v>249450</v>
      </c>
      <c r="O12" s="106">
        <f>Rozpis_Výdaje!DL350</f>
        <v>6558464.0999999996</v>
      </c>
      <c r="Q12" s="106">
        <f>Rozpis_Výdaje!DQ350</f>
        <v>116300</v>
      </c>
      <c r="R12" s="106">
        <f>Rozpis_Výdaje!DR350</f>
        <v>6674764.0999999996</v>
      </c>
      <c r="T12" s="106">
        <f>Rozpis_Výdaje!DT350</f>
        <v>101900</v>
      </c>
      <c r="U12" s="106">
        <f>Rozpis_Výdaje!DU350</f>
        <v>6776664.0999999996</v>
      </c>
      <c r="W12" s="106">
        <f>Rozpis_Výdaje!DW350</f>
        <v>286100</v>
      </c>
      <c r="X12" s="106">
        <f>Rozpis_Výdaje!DX350</f>
        <v>7062764.0999999996</v>
      </c>
      <c r="Z12" s="106">
        <f>Rozpis_Výdaje!EC350</f>
        <v>18300</v>
      </c>
      <c r="AA12" s="106">
        <f>Rozpis_Výdaje!ED350</f>
        <v>7081064.0999999996</v>
      </c>
    </row>
    <row r="13" spans="1:27">
      <c r="A13" s="105" t="s">
        <v>276</v>
      </c>
      <c r="B13" s="105" t="s">
        <v>277</v>
      </c>
      <c r="C13" s="106">
        <f>Rozpis_Výdaje!BM353</f>
        <v>2057900</v>
      </c>
      <c r="D13" s="106">
        <f>Rozpis_Výdaje!CY353</f>
        <v>2482600</v>
      </c>
      <c r="E13" s="106">
        <f>Rozpis_Výdaje!DA353</f>
        <v>2481231</v>
      </c>
      <c r="F13" s="106">
        <f>Rozpis_Výdaje!DC353</f>
        <v>539700</v>
      </c>
      <c r="G13" s="105" t="s">
        <v>457</v>
      </c>
      <c r="H13" s="106">
        <f>Rozpis_Výdaje!DE353</f>
        <v>0</v>
      </c>
      <c r="I13" s="106">
        <f>Rozpis_Výdaje!DF353</f>
        <v>539700</v>
      </c>
      <c r="K13" s="106">
        <f>Rozpis_Výdaje!DH353</f>
        <v>0</v>
      </c>
      <c r="L13" s="106">
        <f>Rozpis_Výdaje!DI353</f>
        <v>539700</v>
      </c>
      <c r="N13" s="106">
        <f>Rozpis_Výdaje!DK353</f>
        <v>866540.65999999992</v>
      </c>
      <c r="O13" s="106">
        <f>Rozpis_Výdaje!DL353</f>
        <v>1406240.66</v>
      </c>
      <c r="Q13" s="106">
        <f>Rozpis_Výdaje!DQ353</f>
        <v>99000</v>
      </c>
      <c r="R13" s="106">
        <f>Rozpis_Výdaje!DR353</f>
        <v>1505240.66</v>
      </c>
      <c r="T13" s="106">
        <f>Rozpis_Výdaje!DT353</f>
        <v>2000</v>
      </c>
      <c r="U13" s="106">
        <f>Rozpis_Výdaje!DU353</f>
        <v>1507240.66</v>
      </c>
      <c r="W13" s="106">
        <f>Rozpis_Výdaje!DW353</f>
        <v>584000</v>
      </c>
      <c r="X13" s="106">
        <f>Rozpis_Výdaje!DX353</f>
        <v>2091240.66</v>
      </c>
      <c r="Z13" s="106">
        <f>Rozpis_Výdaje!EC353</f>
        <v>-100000</v>
      </c>
      <c r="AA13" s="106">
        <f>Rozpis_Výdaje!ED353</f>
        <v>1991240.66</v>
      </c>
    </row>
    <row r="14" spans="1:27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  <c r="T14" s="116">
        <f>T12+T13</f>
        <v>103900</v>
      </c>
      <c r="U14" s="116">
        <f>U12+U13</f>
        <v>8283904.7599999998</v>
      </c>
      <c r="W14" s="116">
        <f>W12+W13</f>
        <v>870100</v>
      </c>
      <c r="X14" s="116">
        <f>X12+X13</f>
        <v>9154004.7599999998</v>
      </c>
      <c r="Z14" s="116">
        <f>Z12+Z13</f>
        <v>-81700</v>
      </c>
      <c r="AA14" s="116">
        <f>AA12+AA13</f>
        <v>9072304.7599999998</v>
      </c>
    </row>
    <row r="15" spans="1:27">
      <c r="H15" s="106"/>
      <c r="I15" s="106"/>
      <c r="K15" s="106"/>
      <c r="L15" s="106"/>
      <c r="N15" s="106"/>
      <c r="O15" s="106"/>
      <c r="Q15" s="106"/>
      <c r="R15" s="106"/>
      <c r="T15" s="106"/>
      <c r="U15" s="106"/>
      <c r="W15" s="106"/>
      <c r="X15" s="106"/>
      <c r="Z15" s="106"/>
      <c r="AA15" s="106"/>
    </row>
    <row r="16" spans="1:27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  <c r="T16" s="108">
        <f>T9-T14</f>
        <v>73100</v>
      </c>
      <c r="U16" s="108">
        <f>U9-U14</f>
        <v>455379.13000000082</v>
      </c>
      <c r="W16" s="108">
        <f>W9-W14</f>
        <v>-735100</v>
      </c>
      <c r="X16" s="108">
        <f>X9-X14</f>
        <v>-279720.86999999918</v>
      </c>
      <c r="Z16" s="108">
        <f>Z9-Z14</f>
        <v>0</v>
      </c>
      <c r="AA16" s="108">
        <f>AA9-AA14</f>
        <v>-279720.86999999918</v>
      </c>
    </row>
    <row r="17" spans="1:27">
      <c r="H17" s="106"/>
      <c r="I17" s="106"/>
      <c r="K17" s="106"/>
      <c r="L17" s="106"/>
      <c r="N17" s="106"/>
      <c r="O17" s="106"/>
      <c r="Q17" s="106"/>
      <c r="R17" s="106"/>
      <c r="T17" s="106"/>
      <c r="U17" s="106"/>
      <c r="W17" s="106"/>
      <c r="X17" s="106"/>
      <c r="Z17" s="106"/>
      <c r="AA17" s="106"/>
    </row>
    <row r="18" spans="1:27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  <c r="T18" s="114"/>
      <c r="U18" s="114"/>
      <c r="W18" s="114"/>
      <c r="X18" s="114"/>
      <c r="Z18" s="114"/>
      <c r="AA18" s="114"/>
    </row>
    <row r="19" spans="1:27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  <c r="T19" s="106"/>
      <c r="U19" s="106"/>
      <c r="W19" s="106">
        <v>735100</v>
      </c>
      <c r="X19" s="106">
        <v>524721</v>
      </c>
      <c r="Z19" s="106">
        <v>0</v>
      </c>
      <c r="AA19" s="106">
        <f>X19+Z19</f>
        <v>524721</v>
      </c>
    </row>
    <row r="20" spans="1:27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  <c r="T20" s="106">
        <v>-73100</v>
      </c>
      <c r="U20" s="106">
        <f>-85379-125000</f>
        <v>-210379</v>
      </c>
      <c r="W20" s="106"/>
      <c r="X20" s="106"/>
      <c r="Z20" s="106"/>
      <c r="AA20" s="106"/>
    </row>
    <row r="21" spans="1:27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  <c r="T21" s="106"/>
      <c r="U21" s="106"/>
      <c r="W21" s="106"/>
      <c r="X21" s="106"/>
      <c r="Z21" s="106"/>
      <c r="AA21" s="106"/>
    </row>
    <row r="22" spans="1:27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  <c r="T22" s="106">
        <v>0</v>
      </c>
      <c r="U22" s="106">
        <v>-245000</v>
      </c>
      <c r="W22" s="106">
        <v>0</v>
      </c>
      <c r="X22" s="106">
        <v>-245000</v>
      </c>
      <c r="Z22" s="106">
        <v>0</v>
      </c>
      <c r="AA22" s="106">
        <v>-245000</v>
      </c>
    </row>
    <row r="23" spans="1:27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  <c r="T23" s="116">
        <f>T19+T21+T22+T20</f>
        <v>-73100</v>
      </c>
      <c r="U23" s="116">
        <f>U19+U21+U22+U20</f>
        <v>-455379</v>
      </c>
      <c r="W23" s="116">
        <f>W19+W21+W22+W20</f>
        <v>735100</v>
      </c>
      <c r="X23" s="116">
        <f>X19+X21+X22+X20</f>
        <v>279721</v>
      </c>
      <c r="Z23" s="116">
        <f>Z19+Z21+Z22+Z20</f>
        <v>0</v>
      </c>
      <c r="AA23" s="116">
        <f>AA19+AA21+AA22+AA20</f>
        <v>279721</v>
      </c>
    </row>
    <row r="24" spans="1:27">
      <c r="H24" s="106"/>
      <c r="I24" s="106"/>
      <c r="K24" s="106"/>
      <c r="L24" s="106"/>
      <c r="N24" s="106"/>
      <c r="O24" s="106"/>
      <c r="Q24" s="106"/>
      <c r="R24" s="106"/>
      <c r="T24" s="106"/>
      <c r="U24" s="106"/>
      <c r="W24" s="106"/>
      <c r="X24" s="106"/>
      <c r="Z24" s="106"/>
      <c r="AA24" s="106"/>
    </row>
    <row r="25" spans="1:27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  <c r="T25" s="110">
        <f>T9-T14+T23</f>
        <v>0</v>
      </c>
      <c r="U25" s="110">
        <f>U9-U14+U23</f>
        <v>0.13000000081956387</v>
      </c>
      <c r="W25" s="110">
        <f>W9-W14+W23</f>
        <v>0</v>
      </c>
      <c r="X25" s="110">
        <f>X9-X14+X23</f>
        <v>0.13000000081956387</v>
      </c>
      <c r="Z25" s="110">
        <f>Z9-Z14+Z23</f>
        <v>0</v>
      </c>
      <c r="AA25" s="110">
        <f>AA9-AA14+AA23</f>
        <v>0.13000000081956387</v>
      </c>
    </row>
    <row r="26" spans="1:27">
      <c r="D26" s="105" t="s">
        <v>457</v>
      </c>
    </row>
    <row r="27" spans="1:27">
      <c r="A27" s="105" t="s">
        <v>597</v>
      </c>
      <c r="F27" s="105" t="s">
        <v>596</v>
      </c>
    </row>
    <row r="28" spans="1:27">
      <c r="A28" s="105" t="s">
        <v>604</v>
      </c>
      <c r="F28" s="105" t="s">
        <v>607</v>
      </c>
    </row>
    <row r="29" spans="1:27">
      <c r="A29" s="105" t="s">
        <v>605</v>
      </c>
      <c r="F29" s="105" t="s">
        <v>606</v>
      </c>
    </row>
    <row r="30" spans="1:27">
      <c r="A30" s="105" t="s">
        <v>609</v>
      </c>
      <c r="F30" s="105" t="s">
        <v>617</v>
      </c>
    </row>
    <row r="31" spans="1:27">
      <c r="A31" s="105" t="s">
        <v>621</v>
      </c>
      <c r="F31" s="105" t="s">
        <v>622</v>
      </c>
    </row>
    <row r="32" spans="1:27">
      <c r="A32" s="105" t="s">
        <v>626</v>
      </c>
      <c r="F32" s="105" t="s">
        <v>625</v>
      </c>
    </row>
    <row r="33" spans="1:26">
      <c r="A33" s="105" t="s">
        <v>628</v>
      </c>
      <c r="F33" s="105" t="s">
        <v>629</v>
      </c>
    </row>
    <row r="34" spans="1:26">
      <c r="A34" s="105" t="s">
        <v>636</v>
      </c>
      <c r="F34" s="105" t="s">
        <v>637</v>
      </c>
    </row>
    <row r="35" spans="1:26">
      <c r="F35" s="105"/>
    </row>
    <row r="36" spans="1:26">
      <c r="B36" s="132"/>
      <c r="Z36" s="105" t="s">
        <v>461</v>
      </c>
    </row>
    <row r="37" spans="1:26">
      <c r="Z37" s="105" t="s">
        <v>462</v>
      </c>
    </row>
    <row r="38" spans="1:26">
      <c r="A38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7F5D-C8D2-44BA-A35E-34CFE8E8A027}">
  <sheetPr>
    <pageSetUpPr fitToPage="1"/>
  </sheetPr>
  <dimension ref="A2:X36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hidden="1" customWidth="1" outlineLevel="1"/>
    <col min="15" max="15" width="14.7109375" style="105" hidden="1" customWidth="1" outlineLevel="1"/>
    <col min="16" max="16" width="3.5703125" style="105" hidden="1" customWidth="1" outlineLevel="1"/>
    <col min="17" max="17" width="16.140625" style="105" hidden="1" customWidth="1" outlineLevel="1"/>
    <col min="18" max="18" width="16" style="105" hidden="1" customWidth="1" outlineLevel="1"/>
    <col min="19" max="19" width="6" style="105" customWidth="1" collapsed="1"/>
    <col min="20" max="20" width="15.7109375" style="105" customWidth="1"/>
    <col min="21" max="21" width="16.5703125" style="105" customWidth="1"/>
    <col min="22" max="22" width="9.140625" style="105"/>
    <col min="23" max="23" width="16.28515625" style="105" customWidth="1"/>
    <col min="24" max="24" width="15.7109375" style="105" customWidth="1"/>
    <col min="25" max="16384" width="9.140625" style="105"/>
  </cols>
  <sheetData>
    <row r="2" spans="1:24" ht="15.75">
      <c r="A2" s="465" t="s">
        <v>594</v>
      </c>
      <c r="B2" s="465"/>
      <c r="C2" s="465"/>
      <c r="D2" s="465"/>
      <c r="E2" s="465"/>
      <c r="F2" s="465"/>
    </row>
    <row r="3" spans="1:24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  <c r="T3" s="117" t="s">
        <v>623</v>
      </c>
      <c r="U3" s="117"/>
      <c r="W3" s="117" t="s">
        <v>627</v>
      </c>
      <c r="X3" s="117"/>
    </row>
    <row r="4" spans="1:24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  <c r="T4" s="368" t="s">
        <v>472</v>
      </c>
      <c r="U4" s="368" t="s">
        <v>473</v>
      </c>
      <c r="W4" s="368" t="s">
        <v>472</v>
      </c>
      <c r="X4" s="368" t="s">
        <v>473</v>
      </c>
    </row>
    <row r="5" spans="1:24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  <c r="T5" s="106">
        <f>Rozpis_Příjmy!DG22</f>
        <v>0</v>
      </c>
      <c r="U5" s="106">
        <f>Rozpis_Příjmy!DH22</f>
        <v>6140400</v>
      </c>
      <c r="W5" s="106">
        <f>Rozpis_Příjmy!DJ22</f>
        <v>120000</v>
      </c>
      <c r="X5" s="106">
        <f>Rozpis_Příjmy!DK22</f>
        <v>6260400</v>
      </c>
    </row>
    <row r="6" spans="1:24">
      <c r="A6" s="105" t="s">
        <v>267</v>
      </c>
      <c r="B6" s="105" t="s">
        <v>268</v>
      </c>
      <c r="C6" s="106">
        <f>Rozpis_Příjmy!BO122</f>
        <v>514500</v>
      </c>
      <c r="D6" s="106">
        <f>Rozpis_Příjmy!CN122</f>
        <v>593640</v>
      </c>
      <c r="E6" s="106">
        <f>Rozpis_Příjmy!CP122</f>
        <v>435708.33</v>
      </c>
      <c r="F6" s="106">
        <f>Rozpis_Příjmy!CR122</f>
        <v>514800</v>
      </c>
      <c r="H6" s="106">
        <f>Rozpis_Příjmy!CU122</f>
        <v>-150000</v>
      </c>
      <c r="I6" s="106">
        <f>Rozpis_Příjmy!CV122</f>
        <v>364800</v>
      </c>
      <c r="K6" s="106">
        <f>Rozpis_Příjmy!CX122</f>
        <v>13000</v>
      </c>
      <c r="L6" s="106">
        <f>Rozpis_Příjmy!CY122</f>
        <v>377800</v>
      </c>
      <c r="N6" s="106">
        <f>Rozpis_Příjmy!DA122</f>
        <v>249450</v>
      </c>
      <c r="O6" s="106">
        <f>Rozpis_Příjmy!DB122</f>
        <v>627250</v>
      </c>
      <c r="Q6" s="106">
        <f>Rozpis_Příjmy!DD122</f>
        <v>16500</v>
      </c>
      <c r="R6" s="106">
        <f>Rozpis_Příjmy!DE122</f>
        <v>643750</v>
      </c>
      <c r="T6" s="106">
        <f>Rozpis_Příjmy!DG122</f>
        <v>155000</v>
      </c>
      <c r="U6" s="106">
        <f>Rozpis_Příjmy!DH122</f>
        <v>798750</v>
      </c>
      <c r="W6" s="106">
        <f>Rozpis_Příjmy!DJ122</f>
        <v>15000</v>
      </c>
      <c r="X6" s="106">
        <f>Rozpis_Příjmy!DK122</f>
        <v>813750</v>
      </c>
    </row>
    <row r="7" spans="1:24">
      <c r="A7" s="105" t="s">
        <v>269</v>
      </c>
      <c r="B7" s="105" t="s">
        <v>270</v>
      </c>
      <c r="C7" s="106">
        <f>Rozpis_Příjmy!BO99</f>
        <v>40000</v>
      </c>
      <c r="D7" s="106">
        <f>Rozpis_Příjmy!CN99</f>
        <v>70000</v>
      </c>
      <c r="E7" s="106">
        <f>Rozpis_Příjmy!CP99</f>
        <v>59144</v>
      </c>
      <c r="F7" s="106">
        <f>Rozpis_Příjmy!CR99</f>
        <v>30000</v>
      </c>
      <c r="H7" s="106">
        <f>Rozpis_Příjmy!CU99</f>
        <v>150000</v>
      </c>
      <c r="I7" s="106">
        <f>Rozpis_Příjmy!CV99</f>
        <v>180000</v>
      </c>
      <c r="K7" s="106">
        <f>Rozpis_Příjmy!CX99</f>
        <v>0</v>
      </c>
      <c r="L7" s="106">
        <f>Rozpis_Příjmy!CY99</f>
        <v>180000</v>
      </c>
      <c r="N7" s="106">
        <f>Rozpis_Příjmy!DA99</f>
        <v>0</v>
      </c>
      <c r="O7" s="106">
        <f>Rozpis_Příjmy!DB99</f>
        <v>180000</v>
      </c>
      <c r="Q7" s="106">
        <f>Rozpis_Příjmy!DD99</f>
        <v>11500</v>
      </c>
      <c r="R7" s="106">
        <f>Rozpis_Příjmy!DE99</f>
        <v>191500</v>
      </c>
      <c r="T7" s="106">
        <f>Rozpis_Příjmy!DG99</f>
        <v>0</v>
      </c>
      <c r="U7" s="106">
        <f>Rozpis_Příjmy!DH99</f>
        <v>191500</v>
      </c>
      <c r="W7" s="106">
        <f>Rozpis_Příjmy!DJ99</f>
        <v>0</v>
      </c>
      <c r="X7" s="106">
        <f>Rozpis_Příjmy!DK99</f>
        <v>191500</v>
      </c>
    </row>
    <row r="8" spans="1:24">
      <c r="A8" s="105" t="s">
        <v>271</v>
      </c>
      <c r="B8" s="105" t="s">
        <v>272</v>
      </c>
      <c r="C8" s="106">
        <f>Rozpis_Příjmy!BO35</f>
        <v>1228300</v>
      </c>
      <c r="D8" s="106">
        <f>Rozpis_Příjmy!CN35</f>
        <v>1377347.88</v>
      </c>
      <c r="E8" s="106">
        <f>Rozpis_Příjmy!CP35</f>
        <v>1377347.92</v>
      </c>
      <c r="F8" s="106">
        <f>Rozpis_Příjmy!CR35</f>
        <v>365188.89</v>
      </c>
      <c r="H8" s="106">
        <f>Rozpis_Příjmy!CU35</f>
        <v>0</v>
      </c>
      <c r="I8" s="106">
        <f>Rozpis_Příjmy!CV35</f>
        <v>365188.89</v>
      </c>
      <c r="K8" s="106">
        <f>Rozpis_Příjmy!CX35</f>
        <v>129761</v>
      </c>
      <c r="L8" s="106">
        <f>Rozpis_Příjmy!CY35</f>
        <v>494949.89</v>
      </c>
      <c r="N8" s="106">
        <f>Rozpis_Příjmy!DA35</f>
        <v>995684</v>
      </c>
      <c r="O8" s="106">
        <f>Rozpis_Příjmy!DB35</f>
        <v>1490633.8900000001</v>
      </c>
      <c r="Q8" s="106">
        <f>Rozpis_Příjmy!DD35</f>
        <v>96000</v>
      </c>
      <c r="R8" s="106">
        <f>Rozpis_Příjmy!DE35</f>
        <v>1586633.8900000001</v>
      </c>
      <c r="T8" s="106">
        <f>Rozpis_Příjmy!DG35</f>
        <v>22000</v>
      </c>
      <c r="U8" s="106">
        <f>Rozpis_Příjmy!DH35</f>
        <v>1608633.8900000001</v>
      </c>
      <c r="W8" s="106">
        <f>Rozpis_Příjmy!DJ35</f>
        <v>0</v>
      </c>
      <c r="X8" s="106">
        <f>Rozpis_Příjmy!DK35</f>
        <v>1608633.8900000001</v>
      </c>
    </row>
    <row r="9" spans="1:24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  <c r="T9" s="116">
        <f>SUM(T5:T8)</f>
        <v>177000</v>
      </c>
      <c r="U9" s="116">
        <f>SUM(U5:U8)</f>
        <v>8739283.8900000006</v>
      </c>
      <c r="W9" s="116">
        <f>SUM(W5:W8)</f>
        <v>135000</v>
      </c>
      <c r="X9" s="116">
        <f>SUM(X5:X8)</f>
        <v>8874283.8900000006</v>
      </c>
    </row>
    <row r="10" spans="1:24">
      <c r="H10" s="106"/>
      <c r="I10" s="106"/>
      <c r="K10" s="106"/>
      <c r="L10" s="106"/>
      <c r="N10" s="106"/>
      <c r="O10" s="106"/>
      <c r="Q10" s="106"/>
      <c r="R10" s="106"/>
      <c r="T10" s="106"/>
      <c r="U10" s="106"/>
      <c r="W10" s="106"/>
      <c r="X10" s="106"/>
    </row>
    <row r="11" spans="1:24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  <c r="T11" s="114"/>
      <c r="U11" s="114"/>
      <c r="W11" s="114"/>
      <c r="X11" s="114"/>
    </row>
    <row r="12" spans="1:24">
      <c r="A12" s="105" t="s">
        <v>274</v>
      </c>
      <c r="B12" s="105" t="s">
        <v>275</v>
      </c>
      <c r="C12" s="106">
        <f>Rozpis_Výdaje!BM350</f>
        <v>7195600</v>
      </c>
      <c r="D12" s="106">
        <f>Rozpis_Výdaje!CY350</f>
        <v>7479854.8899999997</v>
      </c>
      <c r="E12" s="106">
        <f>Rozpis_Výdaje!DA350</f>
        <v>7594747.4400000004</v>
      </c>
      <c r="F12" s="106">
        <f>Rozpis_Výdaje!DC350</f>
        <v>6251689.0999999996</v>
      </c>
      <c r="H12" s="106">
        <f>Rozpis_Výdaje!DE350</f>
        <v>0</v>
      </c>
      <c r="I12" s="106">
        <f>Rozpis_Výdaje!DF350</f>
        <v>6251689.0999999996</v>
      </c>
      <c r="K12" s="106">
        <f>Rozpis_Výdaje!DH350</f>
        <v>57325</v>
      </c>
      <c r="L12" s="106">
        <f>Rozpis_Výdaje!DI350</f>
        <v>6309014.0999999996</v>
      </c>
      <c r="N12" s="106">
        <f>Rozpis_Výdaje!DK350</f>
        <v>249450</v>
      </c>
      <c r="O12" s="106">
        <f>Rozpis_Výdaje!DL350</f>
        <v>6558464.0999999996</v>
      </c>
      <c r="Q12" s="106">
        <f>Rozpis_Výdaje!DQ350</f>
        <v>116300</v>
      </c>
      <c r="R12" s="106">
        <f>Rozpis_Výdaje!DR350</f>
        <v>6674764.0999999996</v>
      </c>
      <c r="T12" s="106">
        <f>Rozpis_Výdaje!DT350</f>
        <v>101900</v>
      </c>
      <c r="U12" s="106">
        <f>Rozpis_Výdaje!DU350</f>
        <v>6776664.0999999996</v>
      </c>
      <c r="W12" s="106">
        <f>Rozpis_Výdaje!DW350</f>
        <v>286100</v>
      </c>
      <c r="X12" s="106">
        <f>Rozpis_Výdaje!DX350</f>
        <v>7062764.0999999996</v>
      </c>
    </row>
    <row r="13" spans="1:24">
      <c r="A13" s="105" t="s">
        <v>276</v>
      </c>
      <c r="B13" s="105" t="s">
        <v>277</v>
      </c>
      <c r="C13" s="106">
        <f>Rozpis_Výdaje!BM353</f>
        <v>2057900</v>
      </c>
      <c r="D13" s="106">
        <f>Rozpis_Výdaje!CY353</f>
        <v>2482600</v>
      </c>
      <c r="E13" s="106">
        <f>Rozpis_Výdaje!DA353</f>
        <v>2481231</v>
      </c>
      <c r="F13" s="106">
        <f>Rozpis_Výdaje!DC353</f>
        <v>539700</v>
      </c>
      <c r="G13" s="105" t="s">
        <v>457</v>
      </c>
      <c r="H13" s="106">
        <f>Rozpis_Výdaje!DE353</f>
        <v>0</v>
      </c>
      <c r="I13" s="106">
        <f>Rozpis_Výdaje!DF353</f>
        <v>539700</v>
      </c>
      <c r="K13" s="106">
        <f>Rozpis_Výdaje!DH353</f>
        <v>0</v>
      </c>
      <c r="L13" s="106">
        <f>Rozpis_Výdaje!DI353</f>
        <v>539700</v>
      </c>
      <c r="N13" s="106">
        <f>Rozpis_Výdaje!DK353</f>
        <v>866540.65999999992</v>
      </c>
      <c r="O13" s="106">
        <f>Rozpis_Výdaje!DL353</f>
        <v>1406240.66</v>
      </c>
      <c r="Q13" s="106">
        <f>Rozpis_Výdaje!DQ353</f>
        <v>99000</v>
      </c>
      <c r="R13" s="106">
        <f>Rozpis_Výdaje!DR353</f>
        <v>1505240.66</v>
      </c>
      <c r="T13" s="106">
        <f>Rozpis_Výdaje!DT353</f>
        <v>2000</v>
      </c>
      <c r="U13" s="106">
        <f>Rozpis_Výdaje!DU353</f>
        <v>1507240.66</v>
      </c>
      <c r="W13" s="106">
        <f>Rozpis_Výdaje!DW353</f>
        <v>584000</v>
      </c>
      <c r="X13" s="106">
        <f>Rozpis_Výdaje!DX353</f>
        <v>2091240.66</v>
      </c>
    </row>
    <row r="14" spans="1:24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  <c r="T14" s="116">
        <f>T12+T13</f>
        <v>103900</v>
      </c>
      <c r="U14" s="116">
        <f>U12+U13</f>
        <v>8283904.7599999998</v>
      </c>
      <c r="W14" s="116">
        <f>W12+W13</f>
        <v>870100</v>
      </c>
      <c r="X14" s="116">
        <f>X12+X13</f>
        <v>9154004.7599999998</v>
      </c>
    </row>
    <row r="15" spans="1:24">
      <c r="H15" s="106"/>
      <c r="I15" s="106"/>
      <c r="K15" s="106"/>
      <c r="L15" s="106"/>
      <c r="N15" s="106"/>
      <c r="O15" s="106"/>
      <c r="Q15" s="106"/>
      <c r="R15" s="106"/>
      <c r="T15" s="106"/>
      <c r="U15" s="106"/>
      <c r="W15" s="106"/>
      <c r="X15" s="106"/>
    </row>
    <row r="16" spans="1:24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  <c r="T16" s="108">
        <f>T9-T14</f>
        <v>73100</v>
      </c>
      <c r="U16" s="108">
        <f>U9-U14</f>
        <v>455379.13000000082</v>
      </c>
      <c r="W16" s="108">
        <f>W9-W14</f>
        <v>-735100</v>
      </c>
      <c r="X16" s="108">
        <f>X9-X14</f>
        <v>-279720.86999999918</v>
      </c>
    </row>
    <row r="17" spans="1:24">
      <c r="H17" s="106"/>
      <c r="I17" s="106"/>
      <c r="K17" s="106"/>
      <c r="L17" s="106"/>
      <c r="N17" s="106"/>
      <c r="O17" s="106"/>
      <c r="Q17" s="106"/>
      <c r="R17" s="106"/>
      <c r="T17" s="106"/>
      <c r="U17" s="106"/>
      <c r="W17" s="106"/>
      <c r="X17" s="106"/>
    </row>
    <row r="18" spans="1:24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  <c r="T18" s="114"/>
      <c r="U18" s="114"/>
      <c r="W18" s="114"/>
      <c r="X18" s="114"/>
    </row>
    <row r="19" spans="1:24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  <c r="T19" s="106"/>
      <c r="U19" s="106"/>
      <c r="W19" s="106">
        <v>735100</v>
      </c>
      <c r="X19" s="106">
        <v>524721</v>
      </c>
    </row>
    <row r="20" spans="1:24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  <c r="T20" s="106">
        <v>-73100</v>
      </c>
      <c r="U20" s="106">
        <f>-85379-125000</f>
        <v>-210379</v>
      </c>
      <c r="W20" s="106"/>
      <c r="X20" s="106"/>
    </row>
    <row r="21" spans="1:24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  <c r="T21" s="106"/>
      <c r="U21" s="106"/>
      <c r="W21" s="106"/>
      <c r="X21" s="106"/>
    </row>
    <row r="22" spans="1:24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  <c r="T22" s="106">
        <v>0</v>
      </c>
      <c r="U22" s="106">
        <v>-245000</v>
      </c>
      <c r="W22" s="106">
        <v>0</v>
      </c>
      <c r="X22" s="106">
        <v>-245000</v>
      </c>
    </row>
    <row r="23" spans="1:24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  <c r="T23" s="116">
        <f>T19+T21+T22+T20</f>
        <v>-73100</v>
      </c>
      <c r="U23" s="116">
        <f>U19+U21+U22+U20</f>
        <v>-455379</v>
      </c>
      <c r="W23" s="116">
        <f>W19+W21+W22+W20</f>
        <v>735100</v>
      </c>
      <c r="X23" s="116">
        <f>X19+X21+X22+X20</f>
        <v>279721</v>
      </c>
    </row>
    <row r="24" spans="1:24">
      <c r="H24" s="106"/>
      <c r="I24" s="106"/>
      <c r="K24" s="106"/>
      <c r="L24" s="106"/>
      <c r="N24" s="106"/>
      <c r="O24" s="106"/>
      <c r="Q24" s="106"/>
      <c r="R24" s="106"/>
      <c r="T24" s="106"/>
      <c r="U24" s="106"/>
      <c r="W24" s="106"/>
      <c r="X24" s="106"/>
    </row>
    <row r="25" spans="1:24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  <c r="T25" s="110">
        <f>T9-T14+T23</f>
        <v>0</v>
      </c>
      <c r="U25" s="110">
        <f>U9-U14+U23</f>
        <v>0.13000000081956387</v>
      </c>
      <c r="W25" s="110">
        <f>W9-W14+W23</f>
        <v>0</v>
      </c>
      <c r="X25" s="110">
        <f>X9-X14+X23</f>
        <v>0.13000000081956387</v>
      </c>
    </row>
    <row r="26" spans="1:24">
      <c r="D26" s="105" t="s">
        <v>457</v>
      </c>
    </row>
    <row r="27" spans="1:24">
      <c r="A27" s="105" t="s">
        <v>597</v>
      </c>
      <c r="F27" s="105" t="s">
        <v>596</v>
      </c>
    </row>
    <row r="28" spans="1:24">
      <c r="A28" s="105" t="s">
        <v>604</v>
      </c>
      <c r="F28" s="105" t="s">
        <v>607</v>
      </c>
    </row>
    <row r="29" spans="1:24">
      <c r="A29" s="105" t="s">
        <v>605</v>
      </c>
      <c r="F29" s="105" t="s">
        <v>606</v>
      </c>
    </row>
    <row r="30" spans="1:24">
      <c r="A30" s="105" t="s">
        <v>609</v>
      </c>
      <c r="F30" s="105" t="s">
        <v>617</v>
      </c>
    </row>
    <row r="31" spans="1:24">
      <c r="A31" s="105" t="s">
        <v>621</v>
      </c>
      <c r="F31" s="105" t="s">
        <v>622</v>
      </c>
    </row>
    <row r="32" spans="1:24">
      <c r="A32" s="105" t="s">
        <v>626</v>
      </c>
      <c r="F32" s="105" t="s">
        <v>625</v>
      </c>
    </row>
    <row r="33" spans="1:23">
      <c r="A33" s="105" t="s">
        <v>628</v>
      </c>
      <c r="F33" s="105" t="s">
        <v>629</v>
      </c>
    </row>
    <row r="34" spans="1:23">
      <c r="B34" s="132"/>
      <c r="W34" s="105" t="s">
        <v>461</v>
      </c>
    </row>
    <row r="35" spans="1:23">
      <c r="W35" s="105" t="s">
        <v>462</v>
      </c>
    </row>
    <row r="36" spans="1:23">
      <c r="A36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7C01-445C-4FD8-8F0F-BBD0B16D6758}">
  <sheetPr>
    <pageSetUpPr fitToPage="1"/>
  </sheetPr>
  <dimension ref="A2:U36"/>
  <sheetViews>
    <sheetView workbookViewId="0"/>
  </sheetViews>
  <sheetFormatPr defaultColWidth="9.140625" defaultRowHeight="15" outlineLevelCol="1"/>
  <cols>
    <col min="1" max="1" width="35.7109375" style="105" customWidth="1"/>
    <col min="2" max="2" width="10.85546875" style="105" customWidth="1"/>
    <col min="3" max="5" width="18.28515625" style="105" customWidth="1"/>
    <col min="6" max="6" width="18.28515625" style="106" customWidth="1"/>
    <col min="7" max="7" width="1.5703125" style="105" customWidth="1"/>
    <col min="8" max="8" width="12.7109375" style="105" hidden="1" customWidth="1" outlineLevel="1"/>
    <col min="9" max="9" width="16.5703125" style="105" hidden="1" customWidth="1" outlineLevel="1"/>
    <col min="10" max="10" width="1.28515625" style="105" hidden="1" customWidth="1" outlineLevel="1"/>
    <col min="11" max="11" width="12.7109375" style="105" hidden="1" customWidth="1" outlineLevel="1"/>
    <col min="12" max="12" width="15.5703125" style="105" hidden="1" customWidth="1" outlineLevel="1"/>
    <col min="13" max="13" width="1.7109375" style="105" hidden="1" customWidth="1" outlineLevel="1"/>
    <col min="14" max="14" width="12.7109375" style="105" hidden="1" customWidth="1" outlineLevel="1"/>
    <col min="15" max="15" width="14.7109375" style="105" hidden="1" customWidth="1" outlineLevel="1"/>
    <col min="16" max="16" width="3.5703125" style="105" customWidth="1" collapsed="1"/>
    <col min="17" max="17" width="16.140625" style="105" customWidth="1"/>
    <col min="18" max="18" width="16" style="105" customWidth="1"/>
    <col min="19" max="19" width="6" style="105" customWidth="1"/>
    <col min="20" max="20" width="15.7109375" style="105" customWidth="1"/>
    <col min="21" max="21" width="16.5703125" style="105" customWidth="1"/>
    <col min="22" max="16384" width="9.140625" style="105"/>
  </cols>
  <sheetData>
    <row r="2" spans="1:21" ht="15.75">
      <c r="A2" s="465" t="s">
        <v>594</v>
      </c>
      <c r="B2" s="465"/>
      <c r="C2" s="465"/>
      <c r="D2" s="465"/>
      <c r="E2" s="465"/>
      <c r="F2" s="465"/>
    </row>
    <row r="3" spans="1:21" ht="15.75">
      <c r="H3" s="117" t="s">
        <v>469</v>
      </c>
      <c r="I3" s="117"/>
      <c r="K3" s="117" t="s">
        <v>478</v>
      </c>
      <c r="L3" s="117"/>
      <c r="N3" s="117" t="s">
        <v>482</v>
      </c>
      <c r="O3" s="117"/>
      <c r="Q3" s="117" t="s">
        <v>489</v>
      </c>
      <c r="R3" s="117"/>
      <c r="T3" s="117" t="s">
        <v>623</v>
      </c>
      <c r="U3" s="117"/>
    </row>
    <row r="4" spans="1:21" ht="47.25">
      <c r="A4" s="111" t="s">
        <v>263</v>
      </c>
      <c r="B4" s="111" t="s">
        <v>5</v>
      </c>
      <c r="C4" s="112" t="s">
        <v>570</v>
      </c>
      <c r="D4" s="112" t="s">
        <v>571</v>
      </c>
      <c r="E4" s="112" t="s">
        <v>572</v>
      </c>
      <c r="F4" s="113" t="s">
        <v>595</v>
      </c>
      <c r="H4" s="368" t="s">
        <v>472</v>
      </c>
      <c r="I4" s="368" t="s">
        <v>473</v>
      </c>
      <c r="K4" s="368" t="s">
        <v>472</v>
      </c>
      <c r="L4" s="368" t="s">
        <v>473</v>
      </c>
      <c r="N4" s="368" t="s">
        <v>472</v>
      </c>
      <c r="O4" s="368" t="s">
        <v>473</v>
      </c>
      <c r="Q4" s="368" t="s">
        <v>472</v>
      </c>
      <c r="R4" s="368" t="s">
        <v>473</v>
      </c>
      <c r="T4" s="368" t="s">
        <v>472</v>
      </c>
      <c r="U4" s="368" t="s">
        <v>473</v>
      </c>
    </row>
    <row r="5" spans="1:21">
      <c r="A5" s="105" t="s">
        <v>265</v>
      </c>
      <c r="B5" s="105" t="s">
        <v>266</v>
      </c>
      <c r="C5" s="106">
        <f>Rozpis_Příjmy!BO22</f>
        <v>5423700</v>
      </c>
      <c r="D5" s="106">
        <f>Rozpis_Příjmy!CN22</f>
        <v>5759500</v>
      </c>
      <c r="E5" s="106">
        <f>Rozpis_Příjmy!CP22</f>
        <v>5723404.6900000004</v>
      </c>
      <c r="F5" s="106">
        <f>Rozpis_Příjmy!CR22</f>
        <v>6126400</v>
      </c>
      <c r="H5" s="106">
        <f>Rozpis_Příjmy!CU22</f>
        <v>0</v>
      </c>
      <c r="I5" s="106">
        <f>Rozpis_Příjmy!CV22</f>
        <v>6126400</v>
      </c>
      <c r="K5" s="106">
        <f>Rozpis_Příjmy!CX22</f>
        <v>0</v>
      </c>
      <c r="L5" s="106">
        <f>Rozpis_Příjmy!CY22</f>
        <v>6126400</v>
      </c>
      <c r="N5" s="106">
        <f>Rozpis_Příjmy!DA22</f>
        <v>0</v>
      </c>
      <c r="O5" s="106">
        <f>Rozpis_Příjmy!DB22</f>
        <v>6126400</v>
      </c>
      <c r="Q5" s="106">
        <f>Rozpis_Příjmy!DD22</f>
        <v>14000</v>
      </c>
      <c r="R5" s="106">
        <f>Rozpis_Příjmy!DE22</f>
        <v>6140400</v>
      </c>
      <c r="T5" s="106">
        <f>Rozpis_Příjmy!DG22</f>
        <v>0</v>
      </c>
      <c r="U5" s="106">
        <f>Rozpis_Příjmy!DH22</f>
        <v>6140400</v>
      </c>
    </row>
    <row r="6" spans="1:21">
      <c r="A6" s="105" t="s">
        <v>267</v>
      </c>
      <c r="B6" s="105" t="s">
        <v>268</v>
      </c>
      <c r="C6" s="106">
        <f>Rozpis_Příjmy!BO122</f>
        <v>514500</v>
      </c>
      <c r="D6" s="106">
        <f>Rozpis_Příjmy!CN122</f>
        <v>593640</v>
      </c>
      <c r="E6" s="106">
        <f>Rozpis_Příjmy!CP122</f>
        <v>435708.33</v>
      </c>
      <c r="F6" s="106">
        <f>Rozpis_Příjmy!CR122</f>
        <v>514800</v>
      </c>
      <c r="H6" s="106">
        <f>Rozpis_Příjmy!CU122</f>
        <v>-150000</v>
      </c>
      <c r="I6" s="106">
        <f>Rozpis_Příjmy!CV122</f>
        <v>364800</v>
      </c>
      <c r="K6" s="106">
        <f>Rozpis_Příjmy!CX122</f>
        <v>13000</v>
      </c>
      <c r="L6" s="106">
        <f>Rozpis_Příjmy!CY122</f>
        <v>377800</v>
      </c>
      <c r="N6" s="106">
        <f>Rozpis_Příjmy!DA122</f>
        <v>249450</v>
      </c>
      <c r="O6" s="106">
        <f>Rozpis_Příjmy!DB122</f>
        <v>627250</v>
      </c>
      <c r="Q6" s="106">
        <f>Rozpis_Příjmy!DD122</f>
        <v>16500</v>
      </c>
      <c r="R6" s="106">
        <f>Rozpis_Příjmy!DE122</f>
        <v>643750</v>
      </c>
      <c r="T6" s="106">
        <f>Rozpis_Příjmy!DG122</f>
        <v>155000</v>
      </c>
      <c r="U6" s="106">
        <f>Rozpis_Příjmy!DH122</f>
        <v>798750</v>
      </c>
    </row>
    <row r="7" spans="1:21">
      <c r="A7" s="105" t="s">
        <v>269</v>
      </c>
      <c r="B7" s="105" t="s">
        <v>270</v>
      </c>
      <c r="C7" s="106">
        <f>Rozpis_Příjmy!BO99</f>
        <v>40000</v>
      </c>
      <c r="D7" s="106">
        <f>Rozpis_Příjmy!CN99</f>
        <v>70000</v>
      </c>
      <c r="E7" s="106">
        <f>Rozpis_Příjmy!CP99</f>
        <v>59144</v>
      </c>
      <c r="F7" s="106">
        <f>Rozpis_Příjmy!CR99</f>
        <v>30000</v>
      </c>
      <c r="H7" s="106">
        <f>Rozpis_Příjmy!CU99</f>
        <v>150000</v>
      </c>
      <c r="I7" s="106">
        <f>Rozpis_Příjmy!CV99</f>
        <v>180000</v>
      </c>
      <c r="K7" s="106">
        <f>Rozpis_Příjmy!CX99</f>
        <v>0</v>
      </c>
      <c r="L7" s="106">
        <f>Rozpis_Příjmy!CY99</f>
        <v>180000</v>
      </c>
      <c r="N7" s="106">
        <f>Rozpis_Příjmy!DA99</f>
        <v>0</v>
      </c>
      <c r="O7" s="106">
        <f>Rozpis_Příjmy!DB99</f>
        <v>180000</v>
      </c>
      <c r="Q7" s="106">
        <f>Rozpis_Příjmy!DD99</f>
        <v>11500</v>
      </c>
      <c r="R7" s="106">
        <f>Rozpis_Příjmy!DE99</f>
        <v>191500</v>
      </c>
      <c r="T7" s="106">
        <f>Rozpis_Příjmy!DG99</f>
        <v>0</v>
      </c>
      <c r="U7" s="106">
        <f>Rozpis_Příjmy!DH99</f>
        <v>191500</v>
      </c>
    </row>
    <row r="8" spans="1:21">
      <c r="A8" s="105" t="s">
        <v>271</v>
      </c>
      <c r="B8" s="105" t="s">
        <v>272</v>
      </c>
      <c r="C8" s="106">
        <f>Rozpis_Příjmy!BO35</f>
        <v>1228300</v>
      </c>
      <c r="D8" s="106">
        <f>Rozpis_Příjmy!CN35</f>
        <v>1377347.88</v>
      </c>
      <c r="E8" s="106">
        <f>Rozpis_Příjmy!CP35</f>
        <v>1377347.92</v>
      </c>
      <c r="F8" s="106">
        <f>Rozpis_Příjmy!CR35</f>
        <v>365188.89</v>
      </c>
      <c r="H8" s="106">
        <f>Rozpis_Příjmy!CU35</f>
        <v>0</v>
      </c>
      <c r="I8" s="106">
        <f>Rozpis_Příjmy!CV35</f>
        <v>365188.89</v>
      </c>
      <c r="K8" s="106">
        <f>Rozpis_Příjmy!CX35</f>
        <v>129761</v>
      </c>
      <c r="L8" s="106">
        <f>Rozpis_Příjmy!CY35</f>
        <v>494949.89</v>
      </c>
      <c r="N8" s="106">
        <f>Rozpis_Příjmy!DA35</f>
        <v>995684</v>
      </c>
      <c r="O8" s="106">
        <f>Rozpis_Příjmy!DB35</f>
        <v>1490633.8900000001</v>
      </c>
      <c r="Q8" s="106">
        <f>Rozpis_Příjmy!DD35</f>
        <v>96000</v>
      </c>
      <c r="R8" s="106">
        <f>Rozpis_Příjmy!DE35</f>
        <v>1586633.8900000001</v>
      </c>
      <c r="T8" s="106">
        <f>Rozpis_Příjmy!DG35</f>
        <v>22000</v>
      </c>
      <c r="U8" s="106">
        <f>Rozpis_Příjmy!DH35</f>
        <v>1608633.8900000001</v>
      </c>
    </row>
    <row r="9" spans="1:21" s="117" customFormat="1" ht="16.5" thickBot="1">
      <c r="A9" s="115" t="s">
        <v>261</v>
      </c>
      <c r="B9" s="115"/>
      <c r="C9" s="116">
        <f>SUM(C5:C8)</f>
        <v>7206500</v>
      </c>
      <c r="D9" s="116">
        <f>SUM(D5:D8)</f>
        <v>7800487.8799999999</v>
      </c>
      <c r="E9" s="116">
        <f>SUM(E5:E8)</f>
        <v>7595604.9400000004</v>
      </c>
      <c r="F9" s="116">
        <f>SUM(F5:F8)</f>
        <v>7036388.8899999997</v>
      </c>
      <c r="H9" s="116">
        <f>SUM(H5:H8)</f>
        <v>0</v>
      </c>
      <c r="I9" s="116">
        <f>SUM(I5:I8)</f>
        <v>7036388.8899999997</v>
      </c>
      <c r="K9" s="116">
        <f>SUM(K5:K8)</f>
        <v>142761</v>
      </c>
      <c r="L9" s="116">
        <f>SUM(L5:L8)</f>
        <v>7179149.8899999997</v>
      </c>
      <c r="N9" s="116">
        <f>SUM(N5:N8)</f>
        <v>1245134</v>
      </c>
      <c r="O9" s="116">
        <f>SUM(O5:O8)</f>
        <v>8424283.8900000006</v>
      </c>
      <c r="Q9" s="116">
        <f>SUM(Q5:Q8)</f>
        <v>138000</v>
      </c>
      <c r="R9" s="116">
        <f>SUM(R5:R8)</f>
        <v>8562283.8900000006</v>
      </c>
      <c r="T9" s="116">
        <f>SUM(T5:T8)</f>
        <v>177000</v>
      </c>
      <c r="U9" s="116">
        <f>SUM(U5:U8)</f>
        <v>8739283.8900000006</v>
      </c>
    </row>
    <row r="10" spans="1:21">
      <c r="H10" s="106"/>
      <c r="I10" s="106"/>
      <c r="K10" s="106"/>
      <c r="L10" s="106"/>
      <c r="N10" s="106"/>
      <c r="O10" s="106"/>
      <c r="Q10" s="106"/>
      <c r="R10" s="106"/>
      <c r="T10" s="106"/>
      <c r="U10" s="106"/>
    </row>
    <row r="11" spans="1:21" ht="15.75">
      <c r="A11" s="111" t="s">
        <v>273</v>
      </c>
      <c r="B11" s="111" t="s">
        <v>5</v>
      </c>
      <c r="C11" s="111"/>
      <c r="D11" s="111"/>
      <c r="E11" s="111"/>
      <c r="F11" s="114"/>
      <c r="H11" s="114"/>
      <c r="I11" s="114"/>
      <c r="K11" s="114"/>
      <c r="L11" s="114"/>
      <c r="N11" s="114"/>
      <c r="O11" s="114"/>
      <c r="Q11" s="114"/>
      <c r="R11" s="114"/>
      <c r="T11" s="114"/>
      <c r="U11" s="114"/>
    </row>
    <row r="12" spans="1:21">
      <c r="A12" s="105" t="s">
        <v>274</v>
      </c>
      <c r="B12" s="105" t="s">
        <v>275</v>
      </c>
      <c r="C12" s="106">
        <f>Rozpis_Výdaje!BM350</f>
        <v>7195600</v>
      </c>
      <c r="D12" s="106">
        <f>Rozpis_Výdaje!CY350</f>
        <v>7479854.8899999997</v>
      </c>
      <c r="E12" s="106">
        <f>Rozpis_Výdaje!DA350</f>
        <v>7594747.4400000004</v>
      </c>
      <c r="F12" s="106">
        <f>Rozpis_Výdaje!DC350</f>
        <v>6251689.0999999996</v>
      </c>
      <c r="H12" s="106">
        <f>Rozpis_Výdaje!DE350</f>
        <v>0</v>
      </c>
      <c r="I12" s="106">
        <f>Rozpis_Výdaje!DF350</f>
        <v>6251689.0999999996</v>
      </c>
      <c r="K12" s="106">
        <f>Rozpis_Výdaje!DH350</f>
        <v>57325</v>
      </c>
      <c r="L12" s="106">
        <f>Rozpis_Výdaje!DI350</f>
        <v>6309014.0999999996</v>
      </c>
      <c r="N12" s="106">
        <f>Rozpis_Výdaje!DK350</f>
        <v>249450</v>
      </c>
      <c r="O12" s="106">
        <f>Rozpis_Výdaje!DL350</f>
        <v>6558464.0999999996</v>
      </c>
      <c r="Q12" s="106">
        <f>Rozpis_Výdaje!DQ350</f>
        <v>116300</v>
      </c>
      <c r="R12" s="106">
        <f>Rozpis_Výdaje!DR350</f>
        <v>6674764.0999999996</v>
      </c>
      <c r="T12" s="106">
        <f>Rozpis_Výdaje!DT350</f>
        <v>101900</v>
      </c>
      <c r="U12" s="106">
        <f>Rozpis_Výdaje!DU350</f>
        <v>6776664.0999999996</v>
      </c>
    </row>
    <row r="13" spans="1:21">
      <c r="A13" s="105" t="s">
        <v>276</v>
      </c>
      <c r="B13" s="105" t="s">
        <v>277</v>
      </c>
      <c r="C13" s="106">
        <f>Rozpis_Výdaje!BM353</f>
        <v>2057900</v>
      </c>
      <c r="D13" s="106">
        <f>Rozpis_Výdaje!CY353</f>
        <v>2482600</v>
      </c>
      <c r="E13" s="106">
        <f>Rozpis_Výdaje!DA353</f>
        <v>2481231</v>
      </c>
      <c r="F13" s="106">
        <f>Rozpis_Výdaje!DC353</f>
        <v>539700</v>
      </c>
      <c r="G13" s="105" t="s">
        <v>457</v>
      </c>
      <c r="H13" s="106">
        <f>Rozpis_Výdaje!DE353</f>
        <v>0</v>
      </c>
      <c r="I13" s="106">
        <f>Rozpis_Výdaje!DF353</f>
        <v>539700</v>
      </c>
      <c r="K13" s="106">
        <f>Rozpis_Výdaje!DH353</f>
        <v>0</v>
      </c>
      <c r="L13" s="106">
        <f>Rozpis_Výdaje!DI353</f>
        <v>539700</v>
      </c>
      <c r="N13" s="106">
        <f>Rozpis_Výdaje!DK353</f>
        <v>866540.65999999992</v>
      </c>
      <c r="O13" s="106">
        <f>Rozpis_Výdaje!DL353</f>
        <v>1406240.66</v>
      </c>
      <c r="Q13" s="106">
        <f>Rozpis_Výdaje!DQ353</f>
        <v>99000</v>
      </c>
      <c r="R13" s="106">
        <f>Rozpis_Výdaje!DR353</f>
        <v>1505240.66</v>
      </c>
      <c r="T13" s="106">
        <f>Rozpis_Výdaje!DT353</f>
        <v>2000</v>
      </c>
      <c r="U13" s="106">
        <f>Rozpis_Výdaje!DU353</f>
        <v>1507240.66</v>
      </c>
    </row>
    <row r="14" spans="1:21" s="117" customFormat="1" ht="16.5" thickBot="1">
      <c r="A14" s="115" t="s">
        <v>262</v>
      </c>
      <c r="B14" s="115"/>
      <c r="C14" s="116">
        <f>C12+C13</f>
        <v>9253500</v>
      </c>
      <c r="D14" s="116">
        <f>D12+D13</f>
        <v>9962454.8900000006</v>
      </c>
      <c r="E14" s="116">
        <f>E12+E13</f>
        <v>10075978.440000001</v>
      </c>
      <c r="F14" s="116">
        <f>F12+F13</f>
        <v>6791389.0999999996</v>
      </c>
      <c r="H14" s="116">
        <f>H12+H13</f>
        <v>0</v>
      </c>
      <c r="I14" s="116">
        <f>I12+I13</f>
        <v>6791389.0999999996</v>
      </c>
      <c r="K14" s="116">
        <f>K12+K13</f>
        <v>57325</v>
      </c>
      <c r="L14" s="116">
        <f>L12+L13</f>
        <v>6848714.0999999996</v>
      </c>
      <c r="N14" s="116">
        <f>N12+N13</f>
        <v>1115990.6599999999</v>
      </c>
      <c r="O14" s="116">
        <f>O12+O13</f>
        <v>7964704.7599999998</v>
      </c>
      <c r="Q14" s="116">
        <f>Q12+Q13</f>
        <v>215300</v>
      </c>
      <c r="R14" s="116">
        <f>R12+R13</f>
        <v>8180004.7599999998</v>
      </c>
      <c r="T14" s="116">
        <f>T12+T13</f>
        <v>103900</v>
      </c>
      <c r="U14" s="116">
        <f>U12+U13</f>
        <v>8283904.7599999998</v>
      </c>
    </row>
    <row r="15" spans="1:21">
      <c r="H15" s="106"/>
      <c r="I15" s="106"/>
      <c r="K15" s="106"/>
      <c r="L15" s="106"/>
      <c r="N15" s="106"/>
      <c r="O15" s="106"/>
      <c r="Q15" s="106"/>
      <c r="R15" s="106"/>
      <c r="T15" s="106"/>
      <c r="U15" s="106"/>
    </row>
    <row r="16" spans="1:21" ht="15.75" thickBot="1">
      <c r="A16" s="107" t="s">
        <v>278</v>
      </c>
      <c r="B16" s="107"/>
      <c r="C16" s="108">
        <f>C9-C14</f>
        <v>-2047000</v>
      </c>
      <c r="D16" s="108">
        <f>D9-D14</f>
        <v>-2161967.0100000007</v>
      </c>
      <c r="E16" s="108">
        <f>E9-E14</f>
        <v>-2480373.5000000009</v>
      </c>
      <c r="F16" s="108">
        <f>F9-F14</f>
        <v>244999.79000000004</v>
      </c>
      <c r="H16" s="108">
        <f>H9-H14</f>
        <v>0</v>
      </c>
      <c r="I16" s="108">
        <f>I9-I14</f>
        <v>244999.79000000004</v>
      </c>
      <c r="K16" s="108">
        <f>K9-K14</f>
        <v>85436</v>
      </c>
      <c r="L16" s="108">
        <f>L9-L14</f>
        <v>330435.79000000004</v>
      </c>
      <c r="N16" s="108">
        <f>N9-N14</f>
        <v>129143.34000000008</v>
      </c>
      <c r="O16" s="108">
        <f>O9-O14</f>
        <v>459579.13000000082</v>
      </c>
      <c r="Q16" s="108">
        <f>Q9-Q14</f>
        <v>-77300</v>
      </c>
      <c r="R16" s="108">
        <f>R9-R14</f>
        <v>382279.13000000082</v>
      </c>
      <c r="T16" s="108">
        <f>T9-T14</f>
        <v>73100</v>
      </c>
      <c r="U16" s="108">
        <f>U9-U14</f>
        <v>455379.13000000082</v>
      </c>
    </row>
    <row r="17" spans="1:21">
      <c r="H17" s="106"/>
      <c r="I17" s="106"/>
      <c r="K17" s="106"/>
      <c r="L17" s="106"/>
      <c r="N17" s="106"/>
      <c r="O17" s="106"/>
      <c r="Q17" s="106"/>
      <c r="R17" s="106"/>
      <c r="T17" s="106"/>
      <c r="U17" s="106"/>
    </row>
    <row r="18" spans="1:21" ht="15.75">
      <c r="A18" s="111" t="s">
        <v>279</v>
      </c>
      <c r="B18" s="111" t="s">
        <v>5</v>
      </c>
      <c r="C18" s="111"/>
      <c r="D18" s="111"/>
      <c r="E18" s="111"/>
      <c r="F18" s="114"/>
      <c r="H18" s="114"/>
      <c r="I18" s="114"/>
      <c r="K18" s="114"/>
      <c r="L18" s="114"/>
      <c r="N18" s="114"/>
      <c r="O18" s="114"/>
      <c r="Q18" s="114"/>
      <c r="R18" s="114"/>
      <c r="T18" s="114"/>
      <c r="U18" s="114"/>
    </row>
    <row r="19" spans="1:21">
      <c r="A19" s="105" t="s">
        <v>280</v>
      </c>
      <c r="B19" s="105">
        <v>8115</v>
      </c>
      <c r="C19" s="106">
        <v>457000</v>
      </c>
      <c r="D19" s="106">
        <v>690667</v>
      </c>
      <c r="E19" s="106">
        <v>976079</v>
      </c>
      <c r="H19" s="106"/>
      <c r="I19" s="106"/>
      <c r="K19" s="106"/>
      <c r="L19" s="106"/>
      <c r="N19" s="106"/>
      <c r="O19" s="106"/>
      <c r="Q19" s="106"/>
      <c r="R19" s="106"/>
      <c r="T19" s="106"/>
      <c r="U19" s="106"/>
    </row>
    <row r="20" spans="1:21">
      <c r="A20" s="105" t="s">
        <v>362</v>
      </c>
      <c r="B20" s="105">
        <v>8115</v>
      </c>
      <c r="C20" s="106">
        <v>0</v>
      </c>
      <c r="D20" s="106">
        <v>0</v>
      </c>
      <c r="E20" s="106">
        <v>0</v>
      </c>
      <c r="H20" s="106"/>
      <c r="I20" s="106"/>
      <c r="K20" s="106">
        <v>-85436</v>
      </c>
      <c r="L20" s="106">
        <v>-85436</v>
      </c>
      <c r="N20" s="106">
        <v>-129143</v>
      </c>
      <c r="O20" s="106">
        <f>N20+L20</f>
        <v>-214579</v>
      </c>
      <c r="Q20" s="106">
        <v>77300</v>
      </c>
      <c r="R20" s="106">
        <f>Q20+O20</f>
        <v>-137279</v>
      </c>
      <c r="T20" s="106">
        <v>-73100</v>
      </c>
      <c r="U20" s="106">
        <f>-85379-125000</f>
        <v>-210379</v>
      </c>
    </row>
    <row r="21" spans="1:21">
      <c r="A21" s="105" t="s">
        <v>358</v>
      </c>
      <c r="B21" s="105">
        <v>8123</v>
      </c>
      <c r="C21" s="106">
        <v>1590000</v>
      </c>
      <c r="D21" s="106">
        <v>1625000</v>
      </c>
      <c r="E21" s="106">
        <v>1624667</v>
      </c>
      <c r="H21" s="106"/>
      <c r="I21" s="106"/>
      <c r="K21" s="106"/>
      <c r="L21" s="106"/>
      <c r="N21" s="106"/>
      <c r="O21" s="106"/>
      <c r="Q21" s="106"/>
      <c r="R21" s="106"/>
      <c r="T21" s="106"/>
      <c r="U21" s="106"/>
    </row>
    <row r="22" spans="1:21">
      <c r="A22" s="105" t="s">
        <v>577</v>
      </c>
      <c r="B22" s="105">
        <v>8124</v>
      </c>
      <c r="C22" s="106"/>
      <c r="D22" s="106">
        <v>-153700</v>
      </c>
      <c r="E22" s="106">
        <v>-120372</v>
      </c>
      <c r="F22" s="106">
        <v>-245000</v>
      </c>
      <c r="H22" s="106">
        <v>0</v>
      </c>
      <c r="I22" s="106">
        <v>-245000</v>
      </c>
      <c r="K22" s="106">
        <v>0</v>
      </c>
      <c r="L22" s="106">
        <v>-245000</v>
      </c>
      <c r="N22" s="106">
        <v>0</v>
      </c>
      <c r="O22" s="106">
        <v>-245000</v>
      </c>
      <c r="Q22" s="106">
        <v>0</v>
      </c>
      <c r="R22" s="106">
        <v>-245000</v>
      </c>
      <c r="T22" s="106">
        <v>0</v>
      </c>
      <c r="U22" s="106">
        <v>-245000</v>
      </c>
    </row>
    <row r="23" spans="1:21" s="117" customFormat="1" ht="17.25" customHeight="1" thickBot="1">
      <c r="A23" s="115" t="s">
        <v>359</v>
      </c>
      <c r="B23" s="115"/>
      <c r="C23" s="116">
        <f>SUM(C19:C22)</f>
        <v>2047000</v>
      </c>
      <c r="D23" s="116">
        <f t="shared" ref="D23:E23" si="0">SUM(D19:D22)</f>
        <v>2161967</v>
      </c>
      <c r="E23" s="116">
        <f t="shared" si="0"/>
        <v>2480374</v>
      </c>
      <c r="F23" s="116">
        <f>F19+F21+F22+F20</f>
        <v>-245000</v>
      </c>
      <c r="H23" s="116">
        <f>H19+H21+H22+H20</f>
        <v>0</v>
      </c>
      <c r="I23" s="116">
        <f>I19+I21+I22+I20</f>
        <v>-245000</v>
      </c>
      <c r="K23" s="116">
        <f>K19+K21+K22+K20</f>
        <v>-85436</v>
      </c>
      <c r="L23" s="116">
        <f>L19+L21+L22+L20</f>
        <v>-330436</v>
      </c>
      <c r="N23" s="116">
        <f>N19+N21+N22+N20</f>
        <v>-129143</v>
      </c>
      <c r="O23" s="116">
        <f>O19+O21+O22+O20</f>
        <v>-459579</v>
      </c>
      <c r="Q23" s="116">
        <f>Q19+Q21+Q22+Q20</f>
        <v>77300</v>
      </c>
      <c r="R23" s="116">
        <f>R19+R21+R22+R20</f>
        <v>-382279</v>
      </c>
      <c r="T23" s="116">
        <f>T19+T21+T22+T20</f>
        <v>-73100</v>
      </c>
      <c r="U23" s="116">
        <f>U19+U21+U22+U20</f>
        <v>-455379</v>
      </c>
    </row>
    <row r="24" spans="1:21">
      <c r="H24" s="106"/>
      <c r="I24" s="106"/>
      <c r="K24" s="106"/>
      <c r="L24" s="106"/>
      <c r="N24" s="106"/>
      <c r="O24" s="106"/>
      <c r="Q24" s="106"/>
      <c r="R24" s="106"/>
      <c r="T24" s="106"/>
      <c r="U24" s="106"/>
    </row>
    <row r="25" spans="1:21" ht="15.75" thickBot="1">
      <c r="A25" s="109" t="s">
        <v>360</v>
      </c>
      <c r="B25" s="109"/>
      <c r="C25" s="110">
        <f>C9-C14+C23</f>
        <v>0</v>
      </c>
      <c r="D25" s="110">
        <f>D9-D14+D23</f>
        <v>-1.0000000707805157E-2</v>
      </c>
      <c r="E25" s="110">
        <f>E9-E14+E23</f>
        <v>0.49999999906867743</v>
      </c>
      <c r="F25" s="110">
        <f>F9-F14+F23</f>
        <v>-0.2099999999627471</v>
      </c>
      <c r="H25" s="110">
        <f>H9-H14+H23</f>
        <v>0</v>
      </c>
      <c r="I25" s="110">
        <f>I9-I14+I23</f>
        <v>-0.2099999999627471</v>
      </c>
      <c r="K25" s="110">
        <f>K9-K14+K23</f>
        <v>0</v>
      </c>
      <c r="L25" s="110">
        <f>L9-L14+L23</f>
        <v>-0.2099999999627471</v>
      </c>
      <c r="N25" s="110">
        <f>N9-N14+N23</f>
        <v>0.34000000008381903</v>
      </c>
      <c r="O25" s="110">
        <f>O9-O14+O23</f>
        <v>0.13000000081956387</v>
      </c>
      <c r="Q25" s="110">
        <f>Q9-Q14+Q23</f>
        <v>0</v>
      </c>
      <c r="R25" s="110">
        <f>R9-R14+R23</f>
        <v>0.13000000081956387</v>
      </c>
      <c r="T25" s="110">
        <f>T9-T14+T23</f>
        <v>0</v>
      </c>
      <c r="U25" s="110">
        <f>U9-U14+U23</f>
        <v>0.13000000081956387</v>
      </c>
    </row>
    <row r="26" spans="1:21">
      <c r="D26" s="105" t="s">
        <v>457</v>
      </c>
    </row>
    <row r="27" spans="1:21">
      <c r="A27" s="105" t="s">
        <v>597</v>
      </c>
      <c r="F27" s="105" t="s">
        <v>596</v>
      </c>
    </row>
    <row r="28" spans="1:21">
      <c r="A28" s="105" t="s">
        <v>604</v>
      </c>
      <c r="F28" s="105" t="s">
        <v>607</v>
      </c>
    </row>
    <row r="29" spans="1:21">
      <c r="A29" s="105" t="s">
        <v>605</v>
      </c>
      <c r="F29" s="105" t="s">
        <v>606</v>
      </c>
    </row>
    <row r="30" spans="1:21">
      <c r="A30" s="105" t="s">
        <v>609</v>
      </c>
      <c r="F30" s="105" t="s">
        <v>617</v>
      </c>
    </row>
    <row r="31" spans="1:21">
      <c r="A31" s="105" t="s">
        <v>621</v>
      </c>
      <c r="F31" s="105" t="s">
        <v>622</v>
      </c>
    </row>
    <row r="32" spans="1:21">
      <c r="A32" s="105" t="s">
        <v>626</v>
      </c>
      <c r="F32" s="105" t="s">
        <v>625</v>
      </c>
    </row>
    <row r="33" spans="1:20">
      <c r="F33" s="105"/>
    </row>
    <row r="34" spans="1:20">
      <c r="B34" s="132"/>
      <c r="T34" s="105" t="s">
        <v>461</v>
      </c>
    </row>
    <row r="35" spans="1:20">
      <c r="T35" s="105" t="s">
        <v>462</v>
      </c>
    </row>
    <row r="36" spans="1:20">
      <c r="A36" s="105" t="s">
        <v>382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38</vt:i4>
      </vt:variant>
      <vt:variant>
        <vt:lpstr>Pojmenované oblasti</vt:lpstr>
      </vt:variant>
      <vt:variant>
        <vt:i4>30</vt:i4>
      </vt:variant>
    </vt:vector>
  </HeadingPairs>
  <TitlesOfParts>
    <vt:vector size="68" baseType="lpstr">
      <vt:lpstr>ROZPOČET_RO4</vt:lpstr>
      <vt:lpstr>ROZPOČET_RO3</vt:lpstr>
      <vt:lpstr>ROZPOČET_RO2</vt:lpstr>
      <vt:lpstr>VÝHLED_FINAL</vt:lpstr>
      <vt:lpstr>ROZPOČET_FINAL</vt:lpstr>
      <vt:lpstr>VÝHLEDschvaleno</vt:lpstr>
      <vt:lpstr>ROZPOČET_RO7_</vt:lpstr>
      <vt:lpstr>ROZPOČET_RO6_</vt:lpstr>
      <vt:lpstr>ROZPOČET_RO5_</vt:lpstr>
      <vt:lpstr>ROZPOČET_RO4_</vt:lpstr>
      <vt:lpstr>ROZPOČET_RO3_</vt:lpstr>
      <vt:lpstr>ROZPOČET_RO3_ navrh</vt:lpstr>
      <vt:lpstr>ROZPOČET_RO2_</vt:lpstr>
      <vt:lpstr>ROZPOČET_RO1</vt:lpstr>
      <vt:lpstr>ROZPOČETschváleno</vt:lpstr>
      <vt:lpstr>VÝHLED23návrh</vt:lpstr>
      <vt:lpstr>nSVR_26</vt:lpstr>
      <vt:lpstr>SVR_25</vt:lpstr>
      <vt:lpstr>SVR_25 navrh</vt:lpstr>
      <vt:lpstr>SVR_24</vt:lpstr>
      <vt:lpstr>SVR_24návrh</vt:lpstr>
      <vt:lpstr>RO_26</vt:lpstr>
      <vt:lpstr>RO4_25</vt:lpstr>
      <vt:lpstr>RO3_25</vt:lpstr>
      <vt:lpstr>RO2_25</vt:lpstr>
      <vt:lpstr>RO1_25</vt:lpstr>
      <vt:lpstr>RO4_24</vt:lpstr>
      <vt:lpstr>RO3_24</vt:lpstr>
      <vt:lpstr>RO2_24</vt:lpstr>
      <vt:lpstr>RO1_24</vt:lpstr>
      <vt:lpstr>RO_24</vt:lpstr>
      <vt:lpstr>RO_24návrh</vt:lpstr>
      <vt:lpstr>ROZPOČET23návrh</vt:lpstr>
      <vt:lpstr>odměny ZO 2025</vt:lpstr>
      <vt:lpstr>Rozpis_Příjmy</vt:lpstr>
      <vt:lpstr>Rozpis_Výdaje</vt:lpstr>
      <vt:lpstr>2023_vlastní aktivity</vt:lpstr>
      <vt:lpstr>odměny ZO 2023</vt:lpstr>
      <vt:lpstr>nSVR_26!Oblast_tisku</vt:lpstr>
      <vt:lpstr>RO_24!Oblast_tisku</vt:lpstr>
      <vt:lpstr>RO_24návrh!Oblast_tisku</vt:lpstr>
      <vt:lpstr>RO_26!Oblast_tisku</vt:lpstr>
      <vt:lpstr>RO1_24!Oblast_tisku</vt:lpstr>
      <vt:lpstr>RO1_25!Oblast_tisku</vt:lpstr>
      <vt:lpstr>RO2_24!Oblast_tisku</vt:lpstr>
      <vt:lpstr>RO2_25!Oblast_tisku</vt:lpstr>
      <vt:lpstr>RO3_24!Oblast_tisku</vt:lpstr>
      <vt:lpstr>RO3_25!Oblast_tisku</vt:lpstr>
      <vt:lpstr>RO4_24!Oblast_tisku</vt:lpstr>
      <vt:lpstr>RO4_25!Oblast_tisku</vt:lpstr>
      <vt:lpstr>ROZPOČET_FINAL!Oblast_tisku</vt:lpstr>
      <vt:lpstr>ROZPOČET_RO1!Oblast_tisku</vt:lpstr>
      <vt:lpstr>ROZPOČET_RO2!Oblast_tisku</vt:lpstr>
      <vt:lpstr>ROZPOČET_RO2_!Oblast_tisku</vt:lpstr>
      <vt:lpstr>ROZPOČET_RO3!Oblast_tisku</vt:lpstr>
      <vt:lpstr>ROZPOČET_RO3_!Oblast_tisku</vt:lpstr>
      <vt:lpstr>'ROZPOČET_RO3_ navrh'!Oblast_tisku</vt:lpstr>
      <vt:lpstr>ROZPOČET_RO4!Oblast_tisku</vt:lpstr>
      <vt:lpstr>ROZPOČET_RO4_!Oblast_tisku</vt:lpstr>
      <vt:lpstr>ROZPOČET_RO5_!Oblast_tisku</vt:lpstr>
      <vt:lpstr>ROZPOČET_RO6_!Oblast_tisku</vt:lpstr>
      <vt:lpstr>ROZPOČET_RO7_!Oblast_tisku</vt:lpstr>
      <vt:lpstr>ROZPOČET23návrh!Oblast_tisku</vt:lpstr>
      <vt:lpstr>ROZPOČETschváleno!Oblast_tisku</vt:lpstr>
      <vt:lpstr>SVR_24!Oblast_tisku</vt:lpstr>
      <vt:lpstr>SVR_24návrh!Oblast_tisku</vt:lpstr>
      <vt:lpstr>SVR_25!Oblast_tisku</vt:lpstr>
      <vt:lpstr>'SVR_25 navrh'!Oblast_tisku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Ondratice</dc:creator>
  <cp:lastModifiedBy>Bob Koštanský</cp:lastModifiedBy>
  <cp:lastPrinted>2026-03-13T10:13:03Z</cp:lastPrinted>
  <dcterms:created xsi:type="dcterms:W3CDTF">2019-11-12T13:13:30Z</dcterms:created>
  <dcterms:modified xsi:type="dcterms:W3CDTF">2026-03-20T10:26:58Z</dcterms:modified>
</cp:coreProperties>
</file>