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ojanova\Documents\___Rok 2022\Rozpočet 2022\"/>
    </mc:Choice>
  </mc:AlternateContent>
  <bookViews>
    <workbookView xWindow="135" yWindow="765" windowWidth="16695" windowHeight="7365"/>
  </bookViews>
  <sheets>
    <sheet name="sumář" sheetId="1" r:id="rId1"/>
    <sheet name="příjmy" sheetId="2" r:id="rId2"/>
    <sheet name="výdaje" sheetId="3" r:id="rId3"/>
    <sheet name="správa po odborech" sheetId="18" r:id="rId4"/>
    <sheet name="PO" sheetId="24" r:id="rId5"/>
    <sheet name="Závazné ukazatele" sheetId="22" r:id="rId6"/>
  </sheets>
  <definedNames>
    <definedName name="_xlnm._FilterDatabase" localSheetId="1" hidden="1">příjmy!$A$1:$N$171</definedName>
    <definedName name="_xlnm.Print_Titles" localSheetId="1">příjmy!$A:$E,příjmy!$1:$3</definedName>
    <definedName name="_xlnm.Print_Titles" localSheetId="3">'správa po odborech'!$1:$3</definedName>
    <definedName name="_xlnm.Print_Titles" localSheetId="2">výdaje!$A:$D,výdaje!$1:$4</definedName>
    <definedName name="_xlnm.Print_Area" localSheetId="1">příjmy!$A$1:$M$163</definedName>
    <definedName name="_xlnm.Print_Area" localSheetId="3">'správa po odborech'!$A$1:$T$97</definedName>
    <definedName name="_xlnm.Print_Area" localSheetId="0">sumář!$A$1:$J$36</definedName>
    <definedName name="_xlnm.Print_Area" localSheetId="2">výdaje!$A$1:$W$123</definedName>
  </definedNames>
  <calcPr calcId="162913"/>
</workbook>
</file>

<file path=xl/calcChain.xml><?xml version="1.0" encoding="utf-8"?>
<calcChain xmlns="http://schemas.openxmlformats.org/spreadsheetml/2006/main">
  <c r="T65" i="3" l="1"/>
  <c r="T64" i="3"/>
  <c r="C28" i="22" l="1"/>
  <c r="N11" i="24" l="1"/>
  <c r="N12" i="24"/>
  <c r="N7" i="24"/>
  <c r="L11" i="24"/>
  <c r="L8" i="24"/>
  <c r="N8" i="24" s="1"/>
  <c r="L10" i="24"/>
  <c r="N10" i="24" s="1"/>
  <c r="G12" i="24"/>
  <c r="G11" i="24"/>
  <c r="G10" i="24"/>
  <c r="G9" i="24"/>
  <c r="G8" i="24"/>
  <c r="G7" i="24"/>
  <c r="D12" i="24"/>
  <c r="D11" i="24"/>
  <c r="D10" i="24"/>
  <c r="D9" i="24"/>
  <c r="D8" i="24"/>
  <c r="D7" i="24"/>
  <c r="L9" i="24"/>
  <c r="K9" i="24"/>
  <c r="N9" i="24" s="1"/>
  <c r="H7" i="24" l="1"/>
  <c r="K6" i="2" l="1"/>
  <c r="Q68" i="3" l="1"/>
  <c r="Q75" i="3"/>
  <c r="E27" i="1"/>
  <c r="Q112" i="3"/>
  <c r="S113" i="3"/>
  <c r="Q119" i="3"/>
  <c r="S120" i="3"/>
  <c r="Q103" i="3" l="1"/>
  <c r="Q100" i="3"/>
  <c r="Q71" i="3"/>
  <c r="Q32" i="3" l="1"/>
  <c r="R28" i="3"/>
  <c r="R21" i="3" l="1"/>
  <c r="S20" i="3"/>
  <c r="S21" i="3"/>
  <c r="O45" i="18"/>
  <c r="O28" i="18"/>
  <c r="O34" i="18"/>
  <c r="K57" i="2"/>
  <c r="K20" i="2"/>
  <c r="K35" i="2"/>
  <c r="K129" i="2"/>
  <c r="K50" i="2"/>
  <c r="K66" i="2"/>
  <c r="K90" i="2"/>
  <c r="K74" i="2"/>
  <c r="K53" i="2"/>
  <c r="K45" i="2"/>
  <c r="K140" i="2"/>
  <c r="K123" i="2"/>
  <c r="K92" i="2"/>
  <c r="K60" i="2"/>
  <c r="K54" i="2"/>
  <c r="K63" i="2"/>
  <c r="K56" i="2"/>
  <c r="K79" i="2"/>
  <c r="K22" i="2"/>
  <c r="K34" i="2"/>
  <c r="K29" i="2" s="1"/>
  <c r="K82" i="2"/>
  <c r="K17" i="2"/>
  <c r="K15" i="2"/>
  <c r="K14" i="2" s="1"/>
  <c r="K5" i="2"/>
  <c r="K86" i="2" l="1"/>
  <c r="K28" i="2"/>
  <c r="K26" i="2" s="1"/>
  <c r="K37" i="2" s="1"/>
  <c r="I100" i="3" l="1"/>
  <c r="H100" i="3"/>
  <c r="G49" i="18"/>
  <c r="F47" i="18"/>
  <c r="H121" i="3" l="1"/>
  <c r="S27" i="3" l="1"/>
  <c r="O27" i="3"/>
  <c r="J27" i="3"/>
  <c r="L27" i="3" s="1"/>
  <c r="K27" i="3"/>
  <c r="G27" i="3"/>
  <c r="I13" i="3"/>
  <c r="I21" i="3"/>
  <c r="H6" i="3"/>
  <c r="G143" i="2"/>
  <c r="T27" i="3" l="1"/>
  <c r="P27" i="3"/>
  <c r="H32" i="3"/>
  <c r="H101" i="3"/>
  <c r="G141" i="2"/>
  <c r="E6" i="3" l="1"/>
  <c r="G6" i="3" l="1"/>
  <c r="G5" i="3" s="1"/>
  <c r="M71" i="3" l="1"/>
  <c r="M28" i="3"/>
  <c r="O113" i="3"/>
  <c r="N112" i="3"/>
  <c r="M112" i="3"/>
  <c r="J116" i="3"/>
  <c r="L116" i="3" s="1"/>
  <c r="I112" i="3"/>
  <c r="H112" i="3"/>
  <c r="O108" i="3"/>
  <c r="M100" i="3"/>
  <c r="M66" i="3"/>
  <c r="M32" i="3"/>
  <c r="M31" i="3" s="1"/>
  <c r="K29" i="18"/>
  <c r="K28" i="18"/>
  <c r="I57" i="2"/>
  <c r="I35" i="2"/>
  <c r="I5" i="2"/>
  <c r="I74" i="2"/>
  <c r="I72" i="2" s="1"/>
  <c r="I84" i="2"/>
  <c r="I129" i="2"/>
  <c r="I107" i="2"/>
  <c r="I51" i="2"/>
  <c r="I66" i="2"/>
  <c r="I50" i="2"/>
  <c r="I45" i="2"/>
  <c r="I92" i="2"/>
  <c r="I86" i="2"/>
  <c r="I44" i="2"/>
  <c r="I60" i="2"/>
  <c r="I63" i="2"/>
  <c r="I61" i="2"/>
  <c r="I56" i="2"/>
  <c r="I79" i="2"/>
  <c r="I22" i="2"/>
  <c r="I34" i="2"/>
  <c r="I29" i="2" s="1"/>
  <c r="I20" i="2"/>
  <c r="I82" i="2"/>
  <c r="I17" i="2"/>
  <c r="I15" i="2"/>
  <c r="I28" i="2"/>
  <c r="I26" i="2" s="1"/>
  <c r="C23" i="1"/>
  <c r="J110" i="3"/>
  <c r="J108" i="3"/>
  <c r="K111" i="3"/>
  <c r="K110" i="3"/>
  <c r="K108" i="3"/>
  <c r="K107" i="3"/>
  <c r="G20" i="3"/>
  <c r="O21" i="3"/>
  <c r="O20" i="3"/>
  <c r="K20" i="3"/>
  <c r="J20" i="3"/>
  <c r="P55" i="18"/>
  <c r="O55" i="18"/>
  <c r="L55" i="18"/>
  <c r="K55" i="18"/>
  <c r="P60" i="18"/>
  <c r="O60" i="18"/>
  <c r="L60" i="18"/>
  <c r="K60" i="18"/>
  <c r="P12" i="18"/>
  <c r="O12" i="18"/>
  <c r="L12" i="18"/>
  <c r="K12" i="18"/>
  <c r="H13" i="18"/>
  <c r="I59" i="18"/>
  <c r="H59" i="18"/>
  <c r="H6" i="18"/>
  <c r="H7" i="18"/>
  <c r="H8" i="18"/>
  <c r="H9" i="18"/>
  <c r="H10" i="18"/>
  <c r="H11" i="18"/>
  <c r="C60" i="18"/>
  <c r="E86" i="18"/>
  <c r="E59" i="18"/>
  <c r="E13" i="18"/>
  <c r="C47" i="18"/>
  <c r="C46" i="18"/>
  <c r="C43" i="18"/>
  <c r="C50" i="18" s="1"/>
  <c r="C36" i="18"/>
  <c r="C35" i="18" s="1"/>
  <c r="C16" i="18"/>
  <c r="C12" i="18" s="1"/>
  <c r="J26" i="3"/>
  <c r="K26" i="3"/>
  <c r="O26" i="3"/>
  <c r="S26" i="3"/>
  <c r="O28" i="3"/>
  <c r="S28" i="3"/>
  <c r="G26" i="3"/>
  <c r="O60" i="3"/>
  <c r="S60" i="3"/>
  <c r="O53" i="3"/>
  <c r="S53" i="3"/>
  <c r="O54" i="3"/>
  <c r="S54" i="3"/>
  <c r="J53" i="3"/>
  <c r="L53" i="3" s="1"/>
  <c r="G53" i="3"/>
  <c r="J60" i="3"/>
  <c r="K60" i="3"/>
  <c r="G60" i="3"/>
  <c r="J93" i="3"/>
  <c r="L93" i="3" s="1"/>
  <c r="G93" i="3"/>
  <c r="E121" i="3"/>
  <c r="E112" i="3" s="1"/>
  <c r="E111" i="3"/>
  <c r="J111" i="3" s="1"/>
  <c r="L111" i="3" s="1"/>
  <c r="E107" i="3"/>
  <c r="J107" i="3" s="1"/>
  <c r="L107" i="3" s="1"/>
  <c r="E105" i="3"/>
  <c r="E104" i="3"/>
  <c r="E103" i="3"/>
  <c r="E101" i="3"/>
  <c r="E96" i="3" s="1"/>
  <c r="E100" i="3"/>
  <c r="E92" i="3"/>
  <c r="E91" i="3"/>
  <c r="F89" i="3"/>
  <c r="G89" i="3" s="1"/>
  <c r="G86" i="3" s="1"/>
  <c r="E87" i="3"/>
  <c r="E85" i="3"/>
  <c r="E83" i="3"/>
  <c r="E76" i="3"/>
  <c r="G76" i="3" s="1"/>
  <c r="E73" i="3"/>
  <c r="E72" i="3"/>
  <c r="E71" i="3"/>
  <c r="E67" i="3"/>
  <c r="G67" i="3" s="1"/>
  <c r="G66" i="3" s="1"/>
  <c r="E63" i="3"/>
  <c r="E62" i="3"/>
  <c r="E55" i="3"/>
  <c r="E54" i="3"/>
  <c r="J54" i="3" s="1"/>
  <c r="L54" i="3" s="1"/>
  <c r="P54" i="3" s="1"/>
  <c r="E51" i="3"/>
  <c r="E50" i="3"/>
  <c r="E37" i="3"/>
  <c r="F28" i="3"/>
  <c r="K28" i="3"/>
  <c r="E28" i="3"/>
  <c r="J28" i="3"/>
  <c r="F21" i="3"/>
  <c r="E21" i="3"/>
  <c r="G21" i="3" s="1"/>
  <c r="E12" i="3"/>
  <c r="L26" i="3"/>
  <c r="L60" i="3"/>
  <c r="P60" i="3" s="1"/>
  <c r="G28" i="3"/>
  <c r="H41" i="2"/>
  <c r="H42" i="2"/>
  <c r="H43" i="2"/>
  <c r="H44" i="2"/>
  <c r="H45" i="2"/>
  <c r="H46" i="2"/>
  <c r="H47" i="2"/>
  <c r="H48" i="2"/>
  <c r="H49" i="2"/>
  <c r="H51" i="2"/>
  <c r="H52" i="2"/>
  <c r="H54" i="2"/>
  <c r="L54" i="2" s="1"/>
  <c r="H55" i="2"/>
  <c r="H58" i="2"/>
  <c r="H83" i="2"/>
  <c r="J83" i="2" s="1"/>
  <c r="F145" i="2"/>
  <c r="F103" i="2"/>
  <c r="H103" i="2" s="1"/>
  <c r="F79" i="2"/>
  <c r="F77" i="2" s="1"/>
  <c r="F72" i="2"/>
  <c r="F68" i="2"/>
  <c r="H68" i="2" s="1"/>
  <c r="F66" i="2"/>
  <c r="F61" i="2" s="1"/>
  <c r="F60" i="2"/>
  <c r="F59" i="2"/>
  <c r="H59" i="2" s="1"/>
  <c r="L59" i="2" s="1"/>
  <c r="F57" i="2"/>
  <c r="F56" i="2"/>
  <c r="H56" i="2" s="1"/>
  <c r="F53" i="2"/>
  <c r="F50" i="2"/>
  <c r="H50" i="2" s="1"/>
  <c r="F20" i="2"/>
  <c r="F17" i="2"/>
  <c r="H17" i="2" s="1"/>
  <c r="K14" i="24"/>
  <c r="J14" i="24"/>
  <c r="I14" i="24"/>
  <c r="F14" i="24"/>
  <c r="E14" i="24"/>
  <c r="C14" i="24"/>
  <c r="B14" i="24"/>
  <c r="M12" i="24"/>
  <c r="H12" i="24"/>
  <c r="M11" i="24"/>
  <c r="H11" i="24"/>
  <c r="M10" i="24"/>
  <c r="H10" i="24"/>
  <c r="L14" i="24"/>
  <c r="M14" i="24" s="1"/>
  <c r="H9" i="24"/>
  <c r="M8" i="24"/>
  <c r="D14" i="24"/>
  <c r="M7" i="24"/>
  <c r="G14" i="24"/>
  <c r="M9" i="24"/>
  <c r="H8" i="24"/>
  <c r="F96" i="2"/>
  <c r="G96" i="2"/>
  <c r="H96" i="2"/>
  <c r="I96" i="2"/>
  <c r="K96" i="2"/>
  <c r="H147" i="2"/>
  <c r="H89" i="2"/>
  <c r="K34" i="3"/>
  <c r="G145" i="2"/>
  <c r="H121" i="2"/>
  <c r="H95" i="2"/>
  <c r="G72" i="2"/>
  <c r="H73" i="2"/>
  <c r="H101" i="2"/>
  <c r="J101" i="2" s="1"/>
  <c r="H94" i="2"/>
  <c r="H138" i="2"/>
  <c r="H133" i="2"/>
  <c r="H91" i="2"/>
  <c r="G86" i="2"/>
  <c r="G77" i="2"/>
  <c r="N63" i="2"/>
  <c r="K105" i="2"/>
  <c r="K160" i="2" s="1"/>
  <c r="I13" i="1" s="1"/>
  <c r="G105" i="2"/>
  <c r="G160" i="2" s="1"/>
  <c r="D13" i="1" s="1"/>
  <c r="N70" i="2"/>
  <c r="K81" i="3"/>
  <c r="H140" i="2"/>
  <c r="H5" i="3"/>
  <c r="F5" i="3"/>
  <c r="K7" i="3"/>
  <c r="J7" i="3"/>
  <c r="L7" i="3" s="1"/>
  <c r="E8" i="3"/>
  <c r="F8" i="3"/>
  <c r="H8" i="3"/>
  <c r="I8" i="3"/>
  <c r="M8" i="3"/>
  <c r="N8" i="3"/>
  <c r="Q8" i="3"/>
  <c r="R8" i="3"/>
  <c r="H112" i="2"/>
  <c r="H111" i="2"/>
  <c r="H148" i="2"/>
  <c r="H135" i="2"/>
  <c r="J21" i="3"/>
  <c r="L21" i="3" s="1"/>
  <c r="T21" i="3" s="1"/>
  <c r="K21" i="3"/>
  <c r="L108" i="3"/>
  <c r="H125" i="2"/>
  <c r="H123" i="2"/>
  <c r="H126" i="2"/>
  <c r="K72" i="2"/>
  <c r="H139" i="2"/>
  <c r="H118" i="2"/>
  <c r="H127" i="2"/>
  <c r="H124" i="2"/>
  <c r="H115" i="2"/>
  <c r="H119" i="2"/>
  <c r="H149" i="2"/>
  <c r="H134" i="2"/>
  <c r="H110" i="2"/>
  <c r="H128" i="2"/>
  <c r="H142" i="2"/>
  <c r="H109" i="2"/>
  <c r="O120" i="3"/>
  <c r="G68" i="3"/>
  <c r="J68" i="3"/>
  <c r="O68" i="3"/>
  <c r="P68" i="3" s="1"/>
  <c r="S68" i="3"/>
  <c r="S121" i="3"/>
  <c r="S119" i="3"/>
  <c r="S118" i="3"/>
  <c r="T118" i="3" s="1"/>
  <c r="S117" i="3"/>
  <c r="S116" i="3"/>
  <c r="S115" i="3"/>
  <c r="S114" i="3"/>
  <c r="R112" i="3"/>
  <c r="S111" i="3"/>
  <c r="S110" i="3"/>
  <c r="S107" i="3"/>
  <c r="S105" i="3"/>
  <c r="S104" i="3"/>
  <c r="S103" i="3"/>
  <c r="R102" i="3"/>
  <c r="Q102" i="3"/>
  <c r="S101" i="3"/>
  <c r="S100" i="3"/>
  <c r="S99" i="3"/>
  <c r="S98" i="3"/>
  <c r="S97" i="3"/>
  <c r="R96" i="3"/>
  <c r="Q96" i="3"/>
  <c r="S95" i="3"/>
  <c r="S94" i="3"/>
  <c r="S92" i="3"/>
  <c r="T92" i="3" s="1"/>
  <c r="S91" i="3"/>
  <c r="S90" i="3"/>
  <c r="S89" i="3"/>
  <c r="S88" i="3"/>
  <c r="S87" i="3"/>
  <c r="R86" i="3"/>
  <c r="Q86" i="3"/>
  <c r="S85" i="3"/>
  <c r="T85" i="3" s="1"/>
  <c r="S84" i="3"/>
  <c r="S83" i="3"/>
  <c r="S82" i="3"/>
  <c r="S81" i="3"/>
  <c r="T81" i="3" s="1"/>
  <c r="S80" i="3"/>
  <c r="S79" i="3"/>
  <c r="S78" i="3"/>
  <c r="S77" i="3"/>
  <c r="S76" i="3"/>
  <c r="S75" i="3"/>
  <c r="S74" i="3"/>
  <c r="S73" i="3"/>
  <c r="S72" i="3"/>
  <c r="S71" i="3"/>
  <c r="S70" i="3"/>
  <c r="S69" i="3"/>
  <c r="S67" i="3"/>
  <c r="R66" i="3"/>
  <c r="Q66" i="3"/>
  <c r="S65" i="3"/>
  <c r="S64" i="3" s="1"/>
  <c r="R64" i="3"/>
  <c r="Q64" i="3"/>
  <c r="S63" i="3"/>
  <c r="T63" i="3" s="1"/>
  <c r="S62" i="3"/>
  <c r="S61" i="3"/>
  <c r="S59" i="3"/>
  <c r="S58" i="3"/>
  <c r="T58" i="3" s="1"/>
  <c r="S57" i="3"/>
  <c r="R56" i="3"/>
  <c r="Q56" i="3"/>
  <c r="S55" i="3"/>
  <c r="T55" i="3" s="1"/>
  <c r="S52" i="3"/>
  <c r="S51" i="3"/>
  <c r="S50" i="3"/>
  <c r="S49" i="3"/>
  <c r="T49" i="3" s="1"/>
  <c r="S48" i="3"/>
  <c r="S47" i="3"/>
  <c r="S46" i="3"/>
  <c r="S45" i="3"/>
  <c r="R44" i="3"/>
  <c r="Q44" i="3"/>
  <c r="S43" i="3"/>
  <c r="S41" i="3"/>
  <c r="S40" i="3"/>
  <c r="S39" i="3"/>
  <c r="S38" i="3"/>
  <c r="S37" i="3"/>
  <c r="T37" i="3" s="1"/>
  <c r="S36" i="3"/>
  <c r="S35" i="3"/>
  <c r="S34" i="3"/>
  <c r="S33" i="3"/>
  <c r="S32" i="3"/>
  <c r="R31" i="3"/>
  <c r="S30" i="3"/>
  <c r="S29" i="3"/>
  <c r="T29" i="3" s="1"/>
  <c r="S25" i="3"/>
  <c r="S22" i="3"/>
  <c r="S24" i="3"/>
  <c r="S23" i="3"/>
  <c r="T23" i="3" s="1"/>
  <c r="S19" i="3"/>
  <c r="S18" i="3"/>
  <c r="S15" i="3"/>
  <c r="S17" i="3"/>
  <c r="T17" i="3" s="1"/>
  <c r="S16" i="3"/>
  <c r="R14" i="3"/>
  <c r="Q14" i="3"/>
  <c r="S13" i="3"/>
  <c r="S12" i="3"/>
  <c r="S11" i="3"/>
  <c r="S10" i="3"/>
  <c r="S9" i="3"/>
  <c r="S6" i="3"/>
  <c r="R5" i="3"/>
  <c r="Q5" i="3"/>
  <c r="O121" i="3"/>
  <c r="O119" i="3"/>
  <c r="O118" i="3"/>
  <c r="O117" i="3"/>
  <c r="O116" i="3"/>
  <c r="O112" i="3" s="1"/>
  <c r="O115" i="3"/>
  <c r="O114" i="3"/>
  <c r="O111" i="3"/>
  <c r="O110" i="3"/>
  <c r="P110" i="3" s="1"/>
  <c r="O107" i="3"/>
  <c r="O105" i="3"/>
  <c r="O104" i="3"/>
  <c r="O103" i="3"/>
  <c r="O102" i="3" s="1"/>
  <c r="N102" i="3"/>
  <c r="M102" i="3"/>
  <c r="O101" i="3"/>
  <c r="O100" i="3"/>
  <c r="O99" i="3"/>
  <c r="O98" i="3"/>
  <c r="O97" i="3"/>
  <c r="N96" i="3"/>
  <c r="M96" i="3"/>
  <c r="O95" i="3"/>
  <c r="O94" i="3"/>
  <c r="O92" i="3"/>
  <c r="P92" i="3" s="1"/>
  <c r="O91" i="3"/>
  <c r="O90" i="3"/>
  <c r="O89" i="3"/>
  <c r="O88" i="3"/>
  <c r="O86" i="3" s="1"/>
  <c r="O87" i="3"/>
  <c r="N86" i="3"/>
  <c r="M86" i="3"/>
  <c r="O85" i="3"/>
  <c r="P85" i="3" s="1"/>
  <c r="O84" i="3"/>
  <c r="O83" i="3"/>
  <c r="O82" i="3"/>
  <c r="O81" i="3"/>
  <c r="P81" i="3" s="1"/>
  <c r="O80" i="3"/>
  <c r="O79" i="3"/>
  <c r="O78" i="3"/>
  <c r="O77" i="3"/>
  <c r="O76" i="3"/>
  <c r="O75" i="3"/>
  <c r="O74" i="3"/>
  <c r="O73" i="3"/>
  <c r="P73" i="3" s="1"/>
  <c r="O72" i="3"/>
  <c r="O71" i="3"/>
  <c r="O70" i="3"/>
  <c r="O69" i="3"/>
  <c r="O67" i="3"/>
  <c r="N66" i="3"/>
  <c r="O65" i="3"/>
  <c r="O64" i="3" s="1"/>
  <c r="N64" i="3"/>
  <c r="M64" i="3"/>
  <c r="O63" i="3"/>
  <c r="O62" i="3"/>
  <c r="O61" i="3"/>
  <c r="O56" i="3" s="1"/>
  <c r="O59" i="3"/>
  <c r="O58" i="3"/>
  <c r="O57" i="3"/>
  <c r="N56" i="3"/>
  <c r="M56" i="3"/>
  <c r="O55" i="3"/>
  <c r="O52" i="3"/>
  <c r="O51" i="3"/>
  <c r="P51" i="3" s="1"/>
  <c r="O50" i="3"/>
  <c r="O49" i="3"/>
  <c r="O48" i="3"/>
  <c r="O47" i="3"/>
  <c r="O46" i="3"/>
  <c r="O45" i="3"/>
  <c r="N44" i="3"/>
  <c r="M44" i="3"/>
  <c r="O43" i="3"/>
  <c r="O42" i="3"/>
  <c r="O41" i="3"/>
  <c r="O40" i="3"/>
  <c r="P40" i="3" s="1"/>
  <c r="O39" i="3"/>
  <c r="O38" i="3"/>
  <c r="O37" i="3"/>
  <c r="O36" i="3"/>
  <c r="O35" i="3"/>
  <c r="O34" i="3"/>
  <c r="O33" i="3"/>
  <c r="O32" i="3"/>
  <c r="O31" i="3" s="1"/>
  <c r="N31" i="3"/>
  <c r="O30" i="3"/>
  <c r="O29" i="3"/>
  <c r="O25" i="3"/>
  <c r="O22" i="3"/>
  <c r="O24" i="3"/>
  <c r="O23" i="3"/>
  <c r="P23" i="3" s="1"/>
  <c r="O19" i="3"/>
  <c r="O18" i="3"/>
  <c r="O15" i="3"/>
  <c r="O17" i="3"/>
  <c r="O14" i="3" s="1"/>
  <c r="O16" i="3"/>
  <c r="N14" i="3"/>
  <c r="M14" i="3"/>
  <c r="O13" i="3"/>
  <c r="O12" i="3"/>
  <c r="O11" i="3"/>
  <c r="O10" i="3"/>
  <c r="O9" i="3"/>
  <c r="O8" i="3" s="1"/>
  <c r="O6" i="3"/>
  <c r="O5" i="3" s="1"/>
  <c r="N5" i="3"/>
  <c r="M5" i="3"/>
  <c r="J15" i="3"/>
  <c r="L15" i="3" s="1"/>
  <c r="K15" i="3"/>
  <c r="J18" i="3"/>
  <c r="K18" i="3"/>
  <c r="J23" i="3"/>
  <c r="K23" i="3"/>
  <c r="J24" i="3"/>
  <c r="K24" i="3"/>
  <c r="J22" i="3"/>
  <c r="J25" i="3"/>
  <c r="L25" i="3" s="1"/>
  <c r="K25" i="3"/>
  <c r="J89" i="3"/>
  <c r="K89" i="3"/>
  <c r="L89" i="3" s="1"/>
  <c r="P89" i="3" s="1"/>
  <c r="J90" i="3"/>
  <c r="K91" i="3"/>
  <c r="P96" i="18"/>
  <c r="O96" i="18"/>
  <c r="Q95" i="18"/>
  <c r="Q94" i="18"/>
  <c r="Q93" i="18"/>
  <c r="Q92" i="18"/>
  <c r="Q91" i="18"/>
  <c r="Q90" i="18"/>
  <c r="P87" i="18"/>
  <c r="O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Q69" i="18"/>
  <c r="P66" i="18"/>
  <c r="O66" i="18"/>
  <c r="Q65" i="18"/>
  <c r="Q64" i="18"/>
  <c r="Q63" i="18"/>
  <c r="Q58" i="18"/>
  <c r="Q54" i="18"/>
  <c r="Q53" i="18"/>
  <c r="Q55" i="18" s="1"/>
  <c r="P50" i="18"/>
  <c r="O50" i="18"/>
  <c r="Q49" i="18"/>
  <c r="Q48" i="18"/>
  <c r="Q47" i="18"/>
  <c r="Q46" i="18"/>
  <c r="Q45" i="18"/>
  <c r="Q44" i="18"/>
  <c r="Q43" i="18"/>
  <c r="Q39" i="18"/>
  <c r="Q38" i="18" s="1"/>
  <c r="P38" i="18"/>
  <c r="O38" i="18"/>
  <c r="Q37" i="18"/>
  <c r="Q36" i="18"/>
  <c r="P35" i="18"/>
  <c r="O35" i="18"/>
  <c r="Q34" i="18"/>
  <c r="Q33" i="18"/>
  <c r="Q32" i="18"/>
  <c r="Q31" i="18"/>
  <c r="Q30" i="18"/>
  <c r="P29" i="18"/>
  <c r="O29" i="18"/>
  <c r="Q28" i="18"/>
  <c r="Q27" i="18"/>
  <c r="Q26" i="18"/>
  <c r="Q25" i="18"/>
  <c r="Q24" i="18"/>
  <c r="Q23" i="18"/>
  <c r="P22" i="18"/>
  <c r="O22" i="18"/>
  <c r="Q21" i="18"/>
  <c r="Q20" i="18"/>
  <c r="Q19" i="18"/>
  <c r="Q18" i="18"/>
  <c r="P17" i="18"/>
  <c r="O17" i="18"/>
  <c r="Q16" i="18"/>
  <c r="Q15" i="18"/>
  <c r="Q14" i="18"/>
  <c r="Q11" i="18"/>
  <c r="Q10" i="18"/>
  <c r="Q9" i="18"/>
  <c r="Q8" i="18"/>
  <c r="Q7" i="18"/>
  <c r="Q6" i="18"/>
  <c r="L96" i="18"/>
  <c r="K96" i="18"/>
  <c r="M95" i="18"/>
  <c r="M94" i="18"/>
  <c r="M93" i="18"/>
  <c r="M92" i="18"/>
  <c r="M91" i="18"/>
  <c r="M90" i="18"/>
  <c r="L87" i="18"/>
  <c r="K87" i="18"/>
  <c r="M86" i="18"/>
  <c r="M85" i="18"/>
  <c r="M84" i="18"/>
  <c r="M83" i="18"/>
  <c r="M82" i="18"/>
  <c r="M81" i="18"/>
  <c r="M80" i="18"/>
  <c r="M79" i="18"/>
  <c r="M78" i="18"/>
  <c r="M77" i="18"/>
  <c r="M76" i="18"/>
  <c r="M75" i="18"/>
  <c r="M74" i="18"/>
  <c r="M73" i="18"/>
  <c r="M72" i="18"/>
  <c r="M71" i="18"/>
  <c r="N71" i="18" s="1"/>
  <c r="M70" i="18"/>
  <c r="M69" i="18"/>
  <c r="L66" i="18"/>
  <c r="K66" i="18"/>
  <c r="M65" i="18"/>
  <c r="M64" i="18"/>
  <c r="M63" i="18"/>
  <c r="M58" i="18"/>
  <c r="M60" i="18" s="1"/>
  <c r="M54" i="18"/>
  <c r="M53" i="18"/>
  <c r="M55" i="18" s="1"/>
  <c r="L50" i="18"/>
  <c r="K50" i="18"/>
  <c r="M49" i="18"/>
  <c r="M48" i="18"/>
  <c r="M47" i="18"/>
  <c r="M46" i="18"/>
  <c r="M50" i="18" s="1"/>
  <c r="M45" i="18"/>
  <c r="M44" i="18"/>
  <c r="M43" i="18"/>
  <c r="M39" i="18"/>
  <c r="M38" i="18" s="1"/>
  <c r="L38" i="18"/>
  <c r="K38" i="18"/>
  <c r="M37" i="18"/>
  <c r="M36" i="18"/>
  <c r="L35" i="18"/>
  <c r="K35" i="18"/>
  <c r="M34" i="18"/>
  <c r="M33" i="18"/>
  <c r="M32" i="18"/>
  <c r="M31" i="18"/>
  <c r="M30" i="18"/>
  <c r="L29" i="18"/>
  <c r="M28" i="18"/>
  <c r="M27" i="18"/>
  <c r="M26" i="18"/>
  <c r="M25" i="18"/>
  <c r="M22" i="18" s="1"/>
  <c r="M24" i="18"/>
  <c r="M23" i="18"/>
  <c r="L22" i="18"/>
  <c r="K22" i="18"/>
  <c r="M21" i="18"/>
  <c r="M20" i="18"/>
  <c r="M19" i="18"/>
  <c r="M18" i="18"/>
  <c r="L17" i="18"/>
  <c r="K17" i="18"/>
  <c r="M16" i="18"/>
  <c r="M15" i="18"/>
  <c r="M14" i="18"/>
  <c r="M11" i="18"/>
  <c r="M10" i="18"/>
  <c r="M9" i="18"/>
  <c r="N9" i="18" s="1"/>
  <c r="M8" i="18"/>
  <c r="M7" i="18"/>
  <c r="M6" i="18"/>
  <c r="H74" i="18"/>
  <c r="J74" i="18" s="1"/>
  <c r="I74" i="18"/>
  <c r="H75" i="18"/>
  <c r="I75" i="18"/>
  <c r="H76" i="18"/>
  <c r="J76" i="18" s="1"/>
  <c r="N76" i="18" s="1"/>
  <c r="I76" i="18"/>
  <c r="H77" i="18"/>
  <c r="I77" i="18"/>
  <c r="H78" i="18"/>
  <c r="J78" i="18" s="1"/>
  <c r="N78" i="18" s="1"/>
  <c r="I78" i="18"/>
  <c r="H79" i="18"/>
  <c r="I79" i="18"/>
  <c r="H80" i="18"/>
  <c r="J80" i="18" s="1"/>
  <c r="I80" i="18"/>
  <c r="H81" i="18"/>
  <c r="I81" i="18"/>
  <c r="H82" i="18"/>
  <c r="J82" i="18" s="1"/>
  <c r="N82" i="18" s="1"/>
  <c r="I82" i="18"/>
  <c r="H83" i="18"/>
  <c r="I83" i="18"/>
  <c r="H84" i="18"/>
  <c r="J84" i="18" s="1"/>
  <c r="I84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D96" i="18"/>
  <c r="C96" i="18"/>
  <c r="D87" i="18"/>
  <c r="C87" i="18"/>
  <c r="D66" i="18"/>
  <c r="C66" i="18"/>
  <c r="D60" i="18"/>
  <c r="D55" i="18"/>
  <c r="C55" i="18"/>
  <c r="D50" i="18"/>
  <c r="D38" i="18"/>
  <c r="C38" i="18"/>
  <c r="D35" i="18"/>
  <c r="D29" i="18"/>
  <c r="C29" i="18"/>
  <c r="D22" i="18"/>
  <c r="C22" i="18"/>
  <c r="D17" i="18"/>
  <c r="C17" i="18"/>
  <c r="D12" i="18"/>
  <c r="D5" i="18"/>
  <c r="D40" i="18" s="1"/>
  <c r="D97" i="18" s="1"/>
  <c r="C5" i="18"/>
  <c r="G121" i="3"/>
  <c r="G120" i="3"/>
  <c r="G119" i="3"/>
  <c r="G118" i="3"/>
  <c r="G117" i="3"/>
  <c r="G116" i="3"/>
  <c r="G115" i="3"/>
  <c r="G114" i="3"/>
  <c r="F112" i="3"/>
  <c r="G111" i="3"/>
  <c r="G110" i="3"/>
  <c r="G105" i="3"/>
  <c r="G102" i="3" s="1"/>
  <c r="G104" i="3"/>
  <c r="G103" i="3"/>
  <c r="F102" i="3"/>
  <c r="G101" i="3"/>
  <c r="G99" i="3"/>
  <c r="G98" i="3"/>
  <c r="G97" i="3"/>
  <c r="F96" i="3"/>
  <c r="G95" i="3"/>
  <c r="G92" i="3"/>
  <c r="J91" i="3"/>
  <c r="K90" i="3"/>
  <c r="L90" i="3" s="1"/>
  <c r="G88" i="3"/>
  <c r="G87" i="3"/>
  <c r="G85" i="3"/>
  <c r="G84" i="3"/>
  <c r="G83" i="3"/>
  <c r="G82" i="3"/>
  <c r="G81" i="3"/>
  <c r="G80" i="3"/>
  <c r="G79" i="3"/>
  <c r="G78" i="3"/>
  <c r="G77" i="3"/>
  <c r="G75" i="3"/>
  <c r="G74" i="3"/>
  <c r="G73" i="3"/>
  <c r="G72" i="3"/>
  <c r="G71" i="3"/>
  <c r="G70" i="3"/>
  <c r="F66" i="3"/>
  <c r="G65" i="3"/>
  <c r="F64" i="3"/>
  <c r="E64" i="3"/>
  <c r="G63" i="3"/>
  <c r="G62" i="3"/>
  <c r="G61" i="3"/>
  <c r="G59" i="3"/>
  <c r="G56" i="3" s="1"/>
  <c r="F56" i="3"/>
  <c r="G57" i="3"/>
  <c r="E56" i="3"/>
  <c r="G55" i="3"/>
  <c r="G52" i="3"/>
  <c r="G51" i="3"/>
  <c r="G50" i="3"/>
  <c r="G49" i="3"/>
  <c r="G48" i="3"/>
  <c r="G47" i="3"/>
  <c r="G46" i="3"/>
  <c r="G45" i="3"/>
  <c r="F44" i="3"/>
  <c r="G43" i="3"/>
  <c r="G42" i="3"/>
  <c r="G41" i="3"/>
  <c r="G40" i="3"/>
  <c r="G39" i="3"/>
  <c r="G38" i="3"/>
  <c r="G37" i="3"/>
  <c r="G36" i="3"/>
  <c r="G35" i="3"/>
  <c r="G33" i="3"/>
  <c r="G32" i="3"/>
  <c r="G31" i="3" s="1"/>
  <c r="F31" i="3"/>
  <c r="G30" i="3"/>
  <c r="G29" i="3"/>
  <c r="G25" i="3"/>
  <c r="G22" i="3"/>
  <c r="G24" i="3"/>
  <c r="G23" i="3"/>
  <c r="E14" i="3"/>
  <c r="G18" i="3"/>
  <c r="G15" i="3"/>
  <c r="G17" i="3"/>
  <c r="G16" i="3"/>
  <c r="G13" i="3"/>
  <c r="G12" i="3"/>
  <c r="G11" i="3"/>
  <c r="G10" i="3"/>
  <c r="G9" i="3"/>
  <c r="H151" i="2"/>
  <c r="H150" i="2"/>
  <c r="H146" i="2"/>
  <c r="H120" i="2"/>
  <c r="H122" i="2"/>
  <c r="H88" i="2"/>
  <c r="K155" i="2"/>
  <c r="K161" i="2"/>
  <c r="K107" i="2"/>
  <c r="K158" i="2" s="1"/>
  <c r="K77" i="2"/>
  <c r="K61" i="2"/>
  <c r="K40" i="2"/>
  <c r="I155" i="2"/>
  <c r="I161" i="2"/>
  <c r="I105" i="2"/>
  <c r="I160" i="2" s="1"/>
  <c r="F86" i="2"/>
  <c r="F35" i="2"/>
  <c r="F29" i="2"/>
  <c r="F26" i="2"/>
  <c r="F5" i="2"/>
  <c r="J81" i="18"/>
  <c r="G34" i="3"/>
  <c r="J34" i="3"/>
  <c r="F14" i="3"/>
  <c r="F106" i="3"/>
  <c r="G64" i="3"/>
  <c r="G8" i="3"/>
  <c r="E5" i="3"/>
  <c r="L68" i="3"/>
  <c r="L23" i="3"/>
  <c r="G58" i="3"/>
  <c r="L91" i="3"/>
  <c r="P91" i="3" s="1"/>
  <c r="G90" i="3"/>
  <c r="E86" i="3"/>
  <c r="G100" i="3"/>
  <c r="L18" i="3"/>
  <c r="G91" i="3"/>
  <c r="J120" i="3"/>
  <c r="K22" i="3"/>
  <c r="L22" i="3" s="1"/>
  <c r="O96" i="3"/>
  <c r="L24" i="3"/>
  <c r="J79" i="18"/>
  <c r="Q35" i="18"/>
  <c r="M87" i="18"/>
  <c r="E31" i="3"/>
  <c r="G69" i="3"/>
  <c r="G94" i="3"/>
  <c r="E102" i="3"/>
  <c r="G19" i="3"/>
  <c r="F107" i="2"/>
  <c r="F158" i="2" s="1"/>
  <c r="G109" i="3"/>
  <c r="T91" i="3"/>
  <c r="G96" i="3"/>
  <c r="T68" i="3"/>
  <c r="L120" i="3"/>
  <c r="P120" i="3" s="1"/>
  <c r="J51" i="3"/>
  <c r="J44" i="3" s="1"/>
  <c r="H141" i="2"/>
  <c r="L141" i="2" s="1"/>
  <c r="H31" i="2"/>
  <c r="H32" i="2"/>
  <c r="H33" i="2"/>
  <c r="H34" i="2"/>
  <c r="H30" i="2"/>
  <c r="H23" i="2"/>
  <c r="H22" i="2"/>
  <c r="J22" i="2" s="1"/>
  <c r="H21" i="2"/>
  <c r="L21" i="2" s="1"/>
  <c r="H19" i="2"/>
  <c r="H18" i="2"/>
  <c r="H16" i="2"/>
  <c r="H15" i="2"/>
  <c r="H7" i="2"/>
  <c r="H8" i="2"/>
  <c r="H9" i="2"/>
  <c r="H10" i="2"/>
  <c r="L10" i="2" s="1"/>
  <c r="H12" i="2"/>
  <c r="H6" i="2"/>
  <c r="H136" i="2"/>
  <c r="H66" i="3"/>
  <c r="H96" i="3"/>
  <c r="G40" i="2"/>
  <c r="H14" i="3"/>
  <c r="I66" i="3"/>
  <c r="I14" i="3"/>
  <c r="J32" i="3"/>
  <c r="J31" i="3" s="1"/>
  <c r="H102" i="3"/>
  <c r="J13" i="3"/>
  <c r="K100" i="3"/>
  <c r="K103" i="3"/>
  <c r="K104" i="3"/>
  <c r="F50" i="18"/>
  <c r="F35" i="18"/>
  <c r="F29" i="18"/>
  <c r="F22" i="18"/>
  <c r="F17" i="18"/>
  <c r="F12" i="18"/>
  <c r="H86" i="3"/>
  <c r="H44" i="3"/>
  <c r="G107" i="2"/>
  <c r="G158" i="2" s="1"/>
  <c r="E26" i="1"/>
  <c r="J6" i="3"/>
  <c r="K6" i="3"/>
  <c r="K5" i="3" s="1"/>
  <c r="K88" i="3"/>
  <c r="K70" i="3"/>
  <c r="K77" i="3"/>
  <c r="L77" i="3" s="1"/>
  <c r="P77" i="3" s="1"/>
  <c r="J69" i="3"/>
  <c r="J70" i="3"/>
  <c r="J72" i="3"/>
  <c r="J73" i="3"/>
  <c r="L73" i="3" s="1"/>
  <c r="J74" i="3"/>
  <c r="J75" i="3"/>
  <c r="J78" i="3"/>
  <c r="J77" i="3"/>
  <c r="J79" i="3"/>
  <c r="J81" i="3"/>
  <c r="J82" i="3"/>
  <c r="L82" i="3" s="1"/>
  <c r="P82" i="3" s="1"/>
  <c r="K40" i="3"/>
  <c r="J38" i="3"/>
  <c r="J39" i="3"/>
  <c r="J40" i="3"/>
  <c r="L40" i="3" s="1"/>
  <c r="J17" i="3"/>
  <c r="K17" i="3"/>
  <c r="J19" i="3"/>
  <c r="J29" i="3"/>
  <c r="L29" i="3" s="1"/>
  <c r="P29" i="3" s="1"/>
  <c r="K29" i="3"/>
  <c r="J99" i="3"/>
  <c r="L99" i="3" s="1"/>
  <c r="T99" i="3" s="1"/>
  <c r="J97" i="3"/>
  <c r="E93" i="18"/>
  <c r="E92" i="18"/>
  <c r="E91" i="18"/>
  <c r="E90" i="18"/>
  <c r="E72" i="18"/>
  <c r="E71" i="18"/>
  <c r="E70" i="18"/>
  <c r="E69" i="18"/>
  <c r="E65" i="18"/>
  <c r="E64" i="18"/>
  <c r="E63" i="18"/>
  <c r="E58" i="18"/>
  <c r="E54" i="18"/>
  <c r="E55" i="18" s="1"/>
  <c r="E53" i="18"/>
  <c r="E49" i="18"/>
  <c r="E48" i="18"/>
  <c r="E47" i="18"/>
  <c r="E46" i="18"/>
  <c r="E45" i="18"/>
  <c r="E44" i="18"/>
  <c r="E43" i="18"/>
  <c r="E39" i="18"/>
  <c r="E38" i="18" s="1"/>
  <c r="E37" i="18"/>
  <c r="E34" i="18"/>
  <c r="E33" i="18"/>
  <c r="E32" i="18"/>
  <c r="E31" i="18"/>
  <c r="E30" i="18"/>
  <c r="E28" i="18"/>
  <c r="E27" i="18"/>
  <c r="E26" i="18"/>
  <c r="E25" i="18"/>
  <c r="E24" i="18"/>
  <c r="E23" i="18"/>
  <c r="E21" i="18"/>
  <c r="E20" i="18"/>
  <c r="E19" i="18"/>
  <c r="E18" i="18"/>
  <c r="E16" i="18"/>
  <c r="E15" i="18"/>
  <c r="E14" i="18"/>
  <c r="E11" i="18"/>
  <c r="E10" i="18"/>
  <c r="E9" i="18"/>
  <c r="E8" i="18"/>
  <c r="E7" i="18"/>
  <c r="E6" i="18"/>
  <c r="J118" i="3"/>
  <c r="J105" i="3"/>
  <c r="J104" i="3"/>
  <c r="J85" i="3"/>
  <c r="J80" i="3"/>
  <c r="H113" i="2"/>
  <c r="H114" i="2"/>
  <c r="H116" i="2"/>
  <c r="H117" i="2"/>
  <c r="H132" i="2"/>
  <c r="H131" i="2"/>
  <c r="H143" i="2"/>
  <c r="J143" i="2" s="1"/>
  <c r="H144" i="2"/>
  <c r="G61" i="2"/>
  <c r="G35" i="2"/>
  <c r="G29" i="2"/>
  <c r="G26" i="2"/>
  <c r="G14" i="2"/>
  <c r="G5" i="2"/>
  <c r="H130" i="2"/>
  <c r="J130" i="2" s="1"/>
  <c r="H129" i="2"/>
  <c r="J129" i="2" s="1"/>
  <c r="J35" i="3"/>
  <c r="K19" i="3"/>
  <c r="J65" i="3"/>
  <c r="J64" i="3" s="1"/>
  <c r="J59" i="3"/>
  <c r="J71" i="3"/>
  <c r="J37" i="3"/>
  <c r="L37" i="3" s="1"/>
  <c r="P37" i="3" s="1"/>
  <c r="H73" i="18"/>
  <c r="I73" i="18"/>
  <c r="H85" i="18"/>
  <c r="J85" i="18" s="1"/>
  <c r="I85" i="18"/>
  <c r="K76" i="3"/>
  <c r="K72" i="3"/>
  <c r="K61" i="3"/>
  <c r="J62" i="3"/>
  <c r="L62" i="3" s="1"/>
  <c r="T62" i="3" s="1"/>
  <c r="J47" i="3"/>
  <c r="J46" i="3"/>
  <c r="P5" i="18"/>
  <c r="H76" i="2"/>
  <c r="H75" i="2"/>
  <c r="H74" i="2"/>
  <c r="L74" i="2" s="1"/>
  <c r="H93" i="2"/>
  <c r="H86" i="18"/>
  <c r="J86" i="18" s="1"/>
  <c r="G96" i="18"/>
  <c r="J94" i="18"/>
  <c r="H48" i="18"/>
  <c r="J48" i="18" s="1"/>
  <c r="I48" i="18"/>
  <c r="H54" i="18"/>
  <c r="I54" i="18"/>
  <c r="G38" i="18"/>
  <c r="G87" i="18"/>
  <c r="F87" i="18"/>
  <c r="G66" i="18"/>
  <c r="F66" i="18"/>
  <c r="G60" i="18"/>
  <c r="F60" i="18"/>
  <c r="G55" i="18"/>
  <c r="F55" i="18"/>
  <c r="G50" i="18"/>
  <c r="G35" i="18"/>
  <c r="G29" i="18"/>
  <c r="G22" i="18"/>
  <c r="G17" i="18"/>
  <c r="G12" i="18"/>
  <c r="G5" i="18"/>
  <c r="K94" i="3"/>
  <c r="J92" i="3"/>
  <c r="J57" i="3"/>
  <c r="K57" i="3"/>
  <c r="J58" i="3"/>
  <c r="K59" i="3"/>
  <c r="J49" i="3"/>
  <c r="J52" i="3"/>
  <c r="K42" i="3"/>
  <c r="L42" i="3" s="1"/>
  <c r="P42" i="3" s="1"/>
  <c r="K43" i="3"/>
  <c r="K39" i="3"/>
  <c r="K38" i="3"/>
  <c r="K10" i="3"/>
  <c r="K101" i="3"/>
  <c r="G155" i="2"/>
  <c r="H64" i="2"/>
  <c r="H65" i="2"/>
  <c r="J50" i="3"/>
  <c r="N69" i="2"/>
  <c r="H87" i="2"/>
  <c r="H64" i="18"/>
  <c r="J64" i="18" s="1"/>
  <c r="I64" i="18"/>
  <c r="I5" i="3"/>
  <c r="I31" i="3"/>
  <c r="I44" i="3"/>
  <c r="H56" i="3"/>
  <c r="I56" i="3"/>
  <c r="I64" i="3"/>
  <c r="H64" i="3"/>
  <c r="I86" i="3"/>
  <c r="I96" i="3"/>
  <c r="I72" i="18"/>
  <c r="H72" i="18"/>
  <c r="I71" i="18"/>
  <c r="H71" i="18"/>
  <c r="I70" i="18"/>
  <c r="H70" i="18"/>
  <c r="J70" i="18" s="1"/>
  <c r="I69" i="18"/>
  <c r="H69" i="18"/>
  <c r="J69" i="18" s="1"/>
  <c r="H49" i="18"/>
  <c r="I49" i="18"/>
  <c r="J49" i="18" s="1"/>
  <c r="K65" i="3"/>
  <c r="K64" i="3" s="1"/>
  <c r="L5" i="18"/>
  <c r="I6" i="18"/>
  <c r="I7" i="18"/>
  <c r="J7" i="18" s="1"/>
  <c r="R7" i="18" s="1"/>
  <c r="I9" i="18"/>
  <c r="I10" i="18"/>
  <c r="I11" i="18"/>
  <c r="H14" i="18"/>
  <c r="J14" i="18" s="1"/>
  <c r="I14" i="18"/>
  <c r="I15" i="18"/>
  <c r="H16" i="18"/>
  <c r="I16" i="18"/>
  <c r="H18" i="18"/>
  <c r="I18" i="18"/>
  <c r="J18" i="18" s="1"/>
  <c r="H19" i="18"/>
  <c r="I19" i="18"/>
  <c r="J19" i="18" s="1"/>
  <c r="R19" i="18" s="1"/>
  <c r="H20" i="18"/>
  <c r="I20" i="18"/>
  <c r="H21" i="18"/>
  <c r="I21" i="18"/>
  <c r="J21" i="18" s="1"/>
  <c r="H23" i="18"/>
  <c r="I23" i="18"/>
  <c r="J23" i="18" s="1"/>
  <c r="H24" i="18"/>
  <c r="I24" i="18"/>
  <c r="H25" i="18"/>
  <c r="I25" i="18"/>
  <c r="J25" i="18" s="1"/>
  <c r="N25" i="18" s="1"/>
  <c r="H26" i="18"/>
  <c r="I26" i="18"/>
  <c r="J26" i="18" s="1"/>
  <c r="H27" i="18"/>
  <c r="I27" i="18"/>
  <c r="J27" i="18" s="1"/>
  <c r="H28" i="18"/>
  <c r="I28" i="18"/>
  <c r="H30" i="18"/>
  <c r="I30" i="18"/>
  <c r="I29" i="18" s="1"/>
  <c r="I31" i="18"/>
  <c r="H32" i="18"/>
  <c r="I32" i="18"/>
  <c r="H33" i="18"/>
  <c r="J33" i="18" s="1"/>
  <c r="I33" i="18"/>
  <c r="H34" i="18"/>
  <c r="J34" i="18" s="1"/>
  <c r="I34" i="18"/>
  <c r="I36" i="18"/>
  <c r="H37" i="18"/>
  <c r="I37" i="18"/>
  <c r="H39" i="18"/>
  <c r="H38" i="18" s="1"/>
  <c r="I39" i="18"/>
  <c r="J39" i="18" s="1"/>
  <c r="I43" i="18"/>
  <c r="H44" i="18"/>
  <c r="I44" i="18"/>
  <c r="J44" i="18" s="1"/>
  <c r="H45" i="18"/>
  <c r="I45" i="18"/>
  <c r="J45" i="18" s="1"/>
  <c r="H46" i="18"/>
  <c r="I46" i="18"/>
  <c r="J46" i="18" s="1"/>
  <c r="H47" i="18"/>
  <c r="I47" i="18"/>
  <c r="H53" i="18"/>
  <c r="I53" i="18"/>
  <c r="I55" i="18" s="1"/>
  <c r="H58" i="18"/>
  <c r="H60" i="18" s="1"/>
  <c r="I58" i="18"/>
  <c r="I60" i="18" s="1"/>
  <c r="H63" i="18"/>
  <c r="I63" i="18"/>
  <c r="J63" i="18" s="1"/>
  <c r="H65" i="18"/>
  <c r="I65" i="18"/>
  <c r="I90" i="18"/>
  <c r="H91" i="18"/>
  <c r="J91" i="18" s="1"/>
  <c r="I91" i="18"/>
  <c r="H92" i="18"/>
  <c r="I92" i="18"/>
  <c r="H93" i="18"/>
  <c r="I93" i="18"/>
  <c r="J9" i="3"/>
  <c r="K9" i="3"/>
  <c r="L9" i="3" s="1"/>
  <c r="J11" i="3"/>
  <c r="K11" i="3"/>
  <c r="J12" i="3"/>
  <c r="K13" i="3"/>
  <c r="J16" i="3"/>
  <c r="K16" i="3"/>
  <c r="J30" i="3"/>
  <c r="K30" i="3"/>
  <c r="J33" i="3"/>
  <c r="L33" i="3" s="1"/>
  <c r="P33" i="3" s="1"/>
  <c r="J41" i="3"/>
  <c r="K41" i="3"/>
  <c r="J42" i="3"/>
  <c r="J43" i="3"/>
  <c r="L43" i="3" s="1"/>
  <c r="J45" i="3"/>
  <c r="J48" i="3"/>
  <c r="J55" i="3"/>
  <c r="J61" i="3"/>
  <c r="L61" i="3" s="1"/>
  <c r="T61" i="3" s="1"/>
  <c r="J63" i="3"/>
  <c r="K69" i="3"/>
  <c r="K78" i="3"/>
  <c r="J83" i="3"/>
  <c r="J84" i="3"/>
  <c r="J95" i="3"/>
  <c r="J94" i="3"/>
  <c r="L94" i="3" s="1"/>
  <c r="J98" i="3"/>
  <c r="J114" i="3"/>
  <c r="J115" i="3"/>
  <c r="J117" i="3"/>
  <c r="L117" i="3" s="1"/>
  <c r="P117" i="3" s="1"/>
  <c r="J119" i="3"/>
  <c r="H11" i="2"/>
  <c r="H24" i="2"/>
  <c r="H25" i="2"/>
  <c r="H27" i="2"/>
  <c r="H28" i="2"/>
  <c r="H36" i="2"/>
  <c r="H62" i="2"/>
  <c r="J62" i="2" s="1"/>
  <c r="H63" i="2"/>
  <c r="H67" i="2"/>
  <c r="H70" i="2"/>
  <c r="J70" i="2" s="1"/>
  <c r="H71" i="2"/>
  <c r="J71" i="2" s="1"/>
  <c r="H78" i="2"/>
  <c r="H80" i="2"/>
  <c r="H81" i="2"/>
  <c r="H82" i="2"/>
  <c r="H84" i="2"/>
  <c r="H85" i="2"/>
  <c r="H102" i="2"/>
  <c r="J102" i="2" s="1"/>
  <c r="H104" i="2"/>
  <c r="H108" i="2"/>
  <c r="E23" i="1"/>
  <c r="E25" i="1"/>
  <c r="J10" i="3"/>
  <c r="J8" i="3" s="1"/>
  <c r="H69" i="2"/>
  <c r="J88" i="3"/>
  <c r="J87" i="3"/>
  <c r="J86" i="3" s="1"/>
  <c r="H15" i="18"/>
  <c r="K5" i="18"/>
  <c r="H31" i="18"/>
  <c r="J31" i="18" s="1"/>
  <c r="N31" i="18" s="1"/>
  <c r="H23" i="1"/>
  <c r="K121" i="3"/>
  <c r="K112" i="3" s="1"/>
  <c r="L13" i="3"/>
  <c r="L12" i="3"/>
  <c r="P12" i="3" s="1"/>
  <c r="L46" i="3"/>
  <c r="L117" i="2"/>
  <c r="J117" i="2"/>
  <c r="L8" i="2"/>
  <c r="L81" i="3"/>
  <c r="K96" i="3"/>
  <c r="L52" i="3"/>
  <c r="K86" i="3"/>
  <c r="L74" i="3"/>
  <c r="L30" i="3"/>
  <c r="L114" i="3"/>
  <c r="P114" i="3" s="1"/>
  <c r="L97" i="3"/>
  <c r="L98" i="3"/>
  <c r="L92" i="3"/>
  <c r="L87" i="3"/>
  <c r="L75" i="3"/>
  <c r="L84" i="3"/>
  <c r="P84" i="3" s="1"/>
  <c r="L69" i="3"/>
  <c r="L79" i="3"/>
  <c r="L63" i="3"/>
  <c r="L45" i="3"/>
  <c r="P45" i="3" s="1"/>
  <c r="L55" i="3"/>
  <c r="L50" i="3"/>
  <c r="L49" i="3"/>
  <c r="L47" i="3"/>
  <c r="L39" i="3"/>
  <c r="J93" i="18"/>
  <c r="J58" i="18"/>
  <c r="J20" i="18"/>
  <c r="R20" i="18" s="1"/>
  <c r="J11" i="18"/>
  <c r="L35" i="3"/>
  <c r="L104" i="3"/>
  <c r="L48" i="3"/>
  <c r="K44" i="3"/>
  <c r="L34" i="3"/>
  <c r="P34" i="3" s="1"/>
  <c r="L85" i="3"/>
  <c r="J100" i="3"/>
  <c r="H31" i="3"/>
  <c r="K58" i="3"/>
  <c r="J121" i="3"/>
  <c r="L110" i="3"/>
  <c r="J103" i="3"/>
  <c r="J102" i="3" s="1"/>
  <c r="I102" i="3"/>
  <c r="K105" i="3"/>
  <c r="L51" i="3"/>
  <c r="T51" i="3" s="1"/>
  <c r="L95" i="3"/>
  <c r="L41" i="3"/>
  <c r="L118" i="3"/>
  <c r="J101" i="3"/>
  <c r="L101" i="3" s="1"/>
  <c r="J36" i="3"/>
  <c r="L80" i="3"/>
  <c r="L70" i="3"/>
  <c r="K66" i="3"/>
  <c r="L71" i="3"/>
  <c r="J56" i="3"/>
  <c r="L82" i="2"/>
  <c r="L70" i="2"/>
  <c r="L58" i="2"/>
  <c r="J64" i="2"/>
  <c r="L64" i="2"/>
  <c r="J69" i="2"/>
  <c r="L32" i="2"/>
  <c r="L57" i="3"/>
  <c r="L78" i="3"/>
  <c r="L72" i="3"/>
  <c r="L88" i="3"/>
  <c r="L83" i="3"/>
  <c r="L59" i="3"/>
  <c r="P59" i="3" s="1"/>
  <c r="L17" i="3"/>
  <c r="L115" i="3"/>
  <c r="L119" i="3"/>
  <c r="L38" i="3"/>
  <c r="L12" i="2"/>
  <c r="J8" i="2"/>
  <c r="J21" i="2"/>
  <c r="J12" i="2"/>
  <c r="J10" i="18"/>
  <c r="J15" i="18"/>
  <c r="F5" i="18"/>
  <c r="O5" i="18"/>
  <c r="F96" i="18"/>
  <c r="H90" i="18"/>
  <c r="J90" i="18" s="1"/>
  <c r="J71" i="18"/>
  <c r="J9" i="18"/>
  <c r="J65" i="18"/>
  <c r="R65" i="18" s="1"/>
  <c r="J72" i="18"/>
  <c r="R72" i="18" s="1"/>
  <c r="H17" i="18"/>
  <c r="I87" i="18"/>
  <c r="J24" i="18"/>
  <c r="N11" i="18"/>
  <c r="P75" i="3"/>
  <c r="T45" i="3"/>
  <c r="P46" i="3"/>
  <c r="P35" i="3"/>
  <c r="T110" i="3"/>
  <c r="T88" i="3"/>
  <c r="P71" i="3"/>
  <c r="T70" i="3"/>
  <c r="P70" i="3"/>
  <c r="P47" i="3"/>
  <c r="P30" i="3"/>
  <c r="T57" i="3"/>
  <c r="T79" i="3"/>
  <c r="P50" i="3"/>
  <c r="P83" i="3"/>
  <c r="T87" i="3"/>
  <c r="P74" i="3"/>
  <c r="P39" i="3"/>
  <c r="T35" i="3"/>
  <c r="T97" i="3"/>
  <c r="P63" i="3"/>
  <c r="P52" i="3"/>
  <c r="T75" i="3"/>
  <c r="P55" i="3"/>
  <c r="P79" i="3"/>
  <c r="T98" i="3"/>
  <c r="P98" i="3"/>
  <c r="T47" i="3"/>
  <c r="R11" i="18"/>
  <c r="L105" i="3"/>
  <c r="K102" i="3"/>
  <c r="L58" i="3"/>
  <c r="P58" i="3" s="1"/>
  <c r="P80" i="3"/>
  <c r="K56" i="3"/>
  <c r="T80" i="3"/>
  <c r="P118" i="3"/>
  <c r="L36" i="3"/>
  <c r="T36" i="3" s="1"/>
  <c r="P41" i="3"/>
  <c r="P72" i="3"/>
  <c r="T72" i="3"/>
  <c r="P57" i="3"/>
  <c r="P78" i="3"/>
  <c r="T38" i="3"/>
  <c r="P38" i="3"/>
  <c r="P119" i="3"/>
  <c r="P115" i="3"/>
  <c r="T24" i="3"/>
  <c r="T105" i="3"/>
  <c r="P105" i="3"/>
  <c r="P36" i="3"/>
  <c r="R91" i="18" l="1"/>
  <c r="N91" i="18"/>
  <c r="R27" i="18"/>
  <c r="N27" i="18"/>
  <c r="N23" i="18"/>
  <c r="R23" i="18"/>
  <c r="J30" i="18"/>
  <c r="E60" i="18"/>
  <c r="N18" i="18"/>
  <c r="N72" i="18"/>
  <c r="I38" i="18"/>
  <c r="I66" i="18"/>
  <c r="I50" i="18"/>
  <c r="I35" i="18"/>
  <c r="I12" i="18"/>
  <c r="I8" i="18" s="1"/>
  <c r="J8" i="18" s="1"/>
  <c r="N79" i="18"/>
  <c r="M66" i="18"/>
  <c r="N15" i="18"/>
  <c r="P40" i="18"/>
  <c r="P97" i="18" s="1"/>
  <c r="R109" i="3" s="1"/>
  <c r="R106" i="3" s="1"/>
  <c r="F40" i="18"/>
  <c r="F97" i="18" s="1"/>
  <c r="H109" i="3" s="1"/>
  <c r="J109" i="3" s="1"/>
  <c r="J106" i="3" s="1"/>
  <c r="H43" i="18"/>
  <c r="R45" i="18"/>
  <c r="N45" i="18"/>
  <c r="H29" i="18"/>
  <c r="I22" i="18"/>
  <c r="E12" i="18"/>
  <c r="K40" i="18"/>
  <c r="K97" i="18" s="1"/>
  <c r="M109" i="3" s="1"/>
  <c r="J47" i="18"/>
  <c r="J50" i="18" s="1"/>
  <c r="J37" i="18"/>
  <c r="R37" i="18" s="1"/>
  <c r="E29" i="18"/>
  <c r="J83" i="18"/>
  <c r="J77" i="18"/>
  <c r="N77" i="18" s="1"/>
  <c r="J75" i="18"/>
  <c r="N75" i="18" s="1"/>
  <c r="N10" i="18"/>
  <c r="M17" i="18"/>
  <c r="M29" i="18"/>
  <c r="N34" i="18"/>
  <c r="H12" i="18"/>
  <c r="N65" i="18"/>
  <c r="N58" i="18"/>
  <c r="J43" i="18"/>
  <c r="H96" i="18"/>
  <c r="L40" i="18"/>
  <c r="L97" i="18" s="1"/>
  <c r="N109" i="3" s="1"/>
  <c r="N106" i="3" s="1"/>
  <c r="E36" i="18"/>
  <c r="N69" i="18"/>
  <c r="N81" i="18"/>
  <c r="M96" i="18"/>
  <c r="R10" i="18"/>
  <c r="R26" i="18"/>
  <c r="R46" i="18"/>
  <c r="J6" i="18"/>
  <c r="N6" i="18" s="1"/>
  <c r="J16" i="18"/>
  <c r="R16" i="18" s="1"/>
  <c r="J92" i="18"/>
  <c r="R92" i="18" s="1"/>
  <c r="I96" i="18"/>
  <c r="H66" i="18"/>
  <c r="G40" i="18"/>
  <c r="Q66" i="18"/>
  <c r="J59" i="18"/>
  <c r="N8" i="18"/>
  <c r="R8" i="18"/>
  <c r="R21" i="18"/>
  <c r="N21" i="18"/>
  <c r="J17" i="18"/>
  <c r="N14" i="18"/>
  <c r="R14" i="18"/>
  <c r="I5" i="18"/>
  <c r="O109" i="3"/>
  <c r="O106" i="3" s="1"/>
  <c r="M106" i="3"/>
  <c r="N44" i="18"/>
  <c r="J38" i="18"/>
  <c r="N38" i="18" s="1"/>
  <c r="R69" i="18"/>
  <c r="C40" i="18"/>
  <c r="C97" i="18" s="1"/>
  <c r="E98" i="18" s="1"/>
  <c r="J60" i="18"/>
  <c r="N60" i="18" s="1"/>
  <c r="R70" i="18"/>
  <c r="N7" i="18"/>
  <c r="N46" i="18"/>
  <c r="R39" i="18"/>
  <c r="J66" i="18"/>
  <c r="N66" i="18" s="1"/>
  <c r="N39" i="18"/>
  <c r="R34" i="18"/>
  <c r="I17" i="18"/>
  <c r="E22" i="18"/>
  <c r="J32" i="18"/>
  <c r="E50" i="18"/>
  <c r="M5" i="18"/>
  <c r="E96" i="18"/>
  <c r="E66" i="18"/>
  <c r="J53" i="18"/>
  <c r="R53" i="18" s="1"/>
  <c r="J28" i="18"/>
  <c r="N28" i="18" s="1"/>
  <c r="J54" i="18"/>
  <c r="J13" i="18"/>
  <c r="Q60" i="18"/>
  <c r="R60" i="18" s="1"/>
  <c r="N70" i="18"/>
  <c r="N24" i="18"/>
  <c r="J29" i="18"/>
  <c r="R24" i="18"/>
  <c r="R58" i="18"/>
  <c r="N63" i="18"/>
  <c r="H5" i="18"/>
  <c r="E17" i="18"/>
  <c r="E5" i="18"/>
  <c r="E87" i="18"/>
  <c r="H36" i="18"/>
  <c r="G97" i="18"/>
  <c r="I109" i="3" s="1"/>
  <c r="K109" i="3" s="1"/>
  <c r="K106" i="3" s="1"/>
  <c r="J73" i="18"/>
  <c r="M35" i="18"/>
  <c r="M12" i="18"/>
  <c r="Q87" i="18"/>
  <c r="Q96" i="18"/>
  <c r="R71" i="18"/>
  <c r="N90" i="18"/>
  <c r="N19" i="18"/>
  <c r="R31" i="18"/>
  <c r="N20" i="18"/>
  <c r="Q5" i="18"/>
  <c r="Q12" i="18"/>
  <c r="Q17" i="18"/>
  <c r="Q29" i="18"/>
  <c r="Q50" i="18"/>
  <c r="P43" i="3"/>
  <c r="T43" i="3"/>
  <c r="T94" i="3"/>
  <c r="P94" i="3"/>
  <c r="T73" i="3"/>
  <c r="T77" i="3"/>
  <c r="L86" i="3"/>
  <c r="L56" i="3"/>
  <c r="C16" i="22" s="1"/>
  <c r="P88" i="3"/>
  <c r="T104" i="3"/>
  <c r="L103" i="3"/>
  <c r="P87" i="3"/>
  <c r="T12" i="3"/>
  <c r="L10" i="3"/>
  <c r="L65" i="3"/>
  <c r="L64" i="3" s="1"/>
  <c r="C17" i="22" s="1"/>
  <c r="J76" i="3"/>
  <c r="L6" i="3"/>
  <c r="S96" i="3"/>
  <c r="O66" i="3"/>
  <c r="G107" i="3"/>
  <c r="G106" i="3" s="1"/>
  <c r="S56" i="3"/>
  <c r="G54" i="3"/>
  <c r="G44" i="3" s="1"/>
  <c r="G122" i="3" s="1"/>
  <c r="P61" i="3"/>
  <c r="T84" i="3"/>
  <c r="P104" i="3"/>
  <c r="T59" i="3"/>
  <c r="J14" i="3"/>
  <c r="J112" i="3"/>
  <c r="L32" i="3"/>
  <c r="P32" i="3" s="1"/>
  <c r="J67" i="3"/>
  <c r="E106" i="3"/>
  <c r="F86" i="3"/>
  <c r="F122" i="3" s="1"/>
  <c r="C17" i="1" s="1"/>
  <c r="E44" i="3"/>
  <c r="E122" i="3" s="1"/>
  <c r="P116" i="3"/>
  <c r="T78" i="3"/>
  <c r="K31" i="3"/>
  <c r="L76" i="3"/>
  <c r="P76" i="3" s="1"/>
  <c r="E66" i="3"/>
  <c r="L20" i="3"/>
  <c r="T20" i="3" s="1"/>
  <c r="P107" i="3"/>
  <c r="T107" i="3"/>
  <c r="C19" i="22"/>
  <c r="P86" i="3"/>
  <c r="T111" i="3"/>
  <c r="P111" i="3"/>
  <c r="T53" i="3"/>
  <c r="P53" i="3"/>
  <c r="T120" i="3"/>
  <c r="T39" i="3"/>
  <c r="T71" i="3"/>
  <c r="T83" i="3"/>
  <c r="T116" i="3"/>
  <c r="T60" i="3"/>
  <c r="P26" i="3"/>
  <c r="S5" i="3"/>
  <c r="S8" i="3"/>
  <c r="T40" i="3"/>
  <c r="T52" i="3"/>
  <c r="T117" i="3"/>
  <c r="K14" i="3"/>
  <c r="N122" i="3"/>
  <c r="G17" i="1" s="1"/>
  <c r="G112" i="3"/>
  <c r="L16" i="3"/>
  <c r="L11" i="3"/>
  <c r="T11" i="3" s="1"/>
  <c r="L19" i="3"/>
  <c r="G14" i="3"/>
  <c r="T33" i="3"/>
  <c r="T41" i="3"/>
  <c r="K8" i="3"/>
  <c r="P18" i="3"/>
  <c r="O44" i="3"/>
  <c r="T15" i="3"/>
  <c r="T30" i="3"/>
  <c r="T34" i="3"/>
  <c r="T46" i="3"/>
  <c r="T50" i="3"/>
  <c r="FE50" i="3" s="1"/>
  <c r="T74" i="3"/>
  <c r="T82" i="3"/>
  <c r="T89" i="3"/>
  <c r="T101" i="3"/>
  <c r="S102" i="3"/>
  <c r="T119" i="3"/>
  <c r="T26" i="3"/>
  <c r="L62" i="2"/>
  <c r="L143" i="2"/>
  <c r="J54" i="2"/>
  <c r="L102" i="2"/>
  <c r="N14" i="24"/>
  <c r="H14" i="24"/>
  <c r="T115" i="3"/>
  <c r="S112" i="3"/>
  <c r="J23" i="1"/>
  <c r="R122" i="3"/>
  <c r="I17" i="1" s="1"/>
  <c r="S86" i="3"/>
  <c r="T86" i="3" s="1"/>
  <c r="S66" i="3"/>
  <c r="P49" i="3"/>
  <c r="S44" i="3"/>
  <c r="S14" i="3"/>
  <c r="R63" i="18"/>
  <c r="Q22" i="18"/>
  <c r="R44" i="18"/>
  <c r="T114" i="3"/>
  <c r="R32" i="18"/>
  <c r="R25" i="18"/>
  <c r="O40" i="18"/>
  <c r="O97" i="18" s="1"/>
  <c r="Q109" i="3" s="1"/>
  <c r="R18" i="18"/>
  <c r="R15" i="18"/>
  <c r="R9" i="18"/>
  <c r="L22" i="2"/>
  <c r="H66" i="2"/>
  <c r="F161" i="2"/>
  <c r="C14" i="1" s="1"/>
  <c r="J80" i="2"/>
  <c r="L55" i="2"/>
  <c r="J114" i="2"/>
  <c r="L80" i="2"/>
  <c r="L131" i="2"/>
  <c r="L68" i="2"/>
  <c r="J11" i="2"/>
  <c r="J33" i="2"/>
  <c r="L48" i="2"/>
  <c r="J48" i="2"/>
  <c r="J16" i="2"/>
  <c r="J6" i="2"/>
  <c r="L9" i="2"/>
  <c r="J9" i="2"/>
  <c r="L6" i="2"/>
  <c r="J116" i="2"/>
  <c r="L11" i="2"/>
  <c r="J41" i="2"/>
  <c r="J78" i="2"/>
  <c r="J108" i="2"/>
  <c r="L16" i="2"/>
  <c r="L116" i="2"/>
  <c r="L100" i="3"/>
  <c r="T100" i="3" s="1"/>
  <c r="N26" i="18"/>
  <c r="R90" i="18"/>
  <c r="H87" i="18"/>
  <c r="N80" i="18"/>
  <c r="N53" i="18"/>
  <c r="H55" i="18"/>
  <c r="I106" i="3"/>
  <c r="I122" i="3" s="1"/>
  <c r="D17" i="1" s="1"/>
  <c r="H50" i="18"/>
  <c r="L28" i="3"/>
  <c r="T28" i="3" s="1"/>
  <c r="L121" i="3"/>
  <c r="M122" i="3"/>
  <c r="G16" i="1" s="1"/>
  <c r="G18" i="1" s="1"/>
  <c r="T22" i="3"/>
  <c r="P20" i="3"/>
  <c r="T9" i="3"/>
  <c r="P9" i="3"/>
  <c r="T19" i="3"/>
  <c r="T25" i="3"/>
  <c r="T16" i="3"/>
  <c r="P16" i="3"/>
  <c r="P19" i="3"/>
  <c r="P25" i="3"/>
  <c r="T10" i="3"/>
  <c r="T18" i="3"/>
  <c r="P24" i="3"/>
  <c r="P17" i="3"/>
  <c r="P10" i="3"/>
  <c r="T69" i="3"/>
  <c r="P69" i="3"/>
  <c r="T76" i="3"/>
  <c r="P48" i="3"/>
  <c r="T48" i="3"/>
  <c r="P21" i="3"/>
  <c r="P13" i="3"/>
  <c r="T13" i="3"/>
  <c r="L104" i="2"/>
  <c r="L51" i="2"/>
  <c r="L43" i="2"/>
  <c r="L66" i="2"/>
  <c r="J68" i="2"/>
  <c r="L114" i="2"/>
  <c r="L130" i="2"/>
  <c r="F105" i="2"/>
  <c r="F160" i="2" s="1"/>
  <c r="F14" i="2"/>
  <c r="F37" i="2" s="1"/>
  <c r="F156" i="2" s="1"/>
  <c r="J51" i="2"/>
  <c r="J58" i="2"/>
  <c r="L78" i="2"/>
  <c r="L69" i="2"/>
  <c r="J43" i="2"/>
  <c r="J131" i="2"/>
  <c r="F152" i="2"/>
  <c r="L41" i="2"/>
  <c r="J59" i="2"/>
  <c r="L45" i="2"/>
  <c r="J55" i="2"/>
  <c r="L42" i="2"/>
  <c r="L83" i="2"/>
  <c r="J49" i="2"/>
  <c r="J42" i="2"/>
  <c r="J81" i="2"/>
  <c r="L49" i="2"/>
  <c r="J46" i="2"/>
  <c r="L81" i="2"/>
  <c r="J66" i="2"/>
  <c r="L46" i="2"/>
  <c r="L71" i="2"/>
  <c r="P101" i="3"/>
  <c r="L44" i="3"/>
  <c r="C15" i="22" s="1"/>
  <c r="T54" i="3"/>
  <c r="P121" i="3"/>
  <c r="L19" i="2"/>
  <c r="H35" i="2"/>
  <c r="J35" i="2" s="1"/>
  <c r="L36" i="2"/>
  <c r="L129" i="2"/>
  <c r="L110" i="2"/>
  <c r="J36" i="2"/>
  <c r="J19" i="2"/>
  <c r="J30" i="2"/>
  <c r="J63" i="2"/>
  <c r="L132" i="2"/>
  <c r="H105" i="2"/>
  <c r="H160" i="2" s="1"/>
  <c r="L160" i="2" s="1"/>
  <c r="K152" i="2"/>
  <c r="L15" i="2"/>
  <c r="L30" i="2"/>
  <c r="N106" i="2"/>
  <c r="J56" i="2"/>
  <c r="L56" i="2"/>
  <c r="G13" i="1"/>
  <c r="L50" i="2"/>
  <c r="L63" i="2"/>
  <c r="L18" i="2"/>
  <c r="G98" i="2"/>
  <c r="G157" i="2" s="1"/>
  <c r="D12" i="1" s="1"/>
  <c r="H145" i="2"/>
  <c r="H161" i="2" s="1"/>
  <c r="G152" i="2"/>
  <c r="J10" i="2"/>
  <c r="J23" i="2"/>
  <c r="L85" i="2"/>
  <c r="L108" i="2"/>
  <c r="L103" i="2"/>
  <c r="L33" i="2"/>
  <c r="L23" i="2"/>
  <c r="J50" i="2"/>
  <c r="J103" i="2"/>
  <c r="J85" i="2"/>
  <c r="J18" i="2"/>
  <c r="G37" i="2"/>
  <c r="G156" i="2" s="1"/>
  <c r="D11" i="1" s="1"/>
  <c r="K98" i="2"/>
  <c r="K157" i="2" s="1"/>
  <c r="I12" i="1" s="1"/>
  <c r="L118" i="2"/>
  <c r="J74" i="2"/>
  <c r="H72" i="2"/>
  <c r="J72" i="2" s="1"/>
  <c r="L76" i="2"/>
  <c r="J76" i="2"/>
  <c r="H60" i="2"/>
  <c r="J52" i="2"/>
  <c r="J47" i="2"/>
  <c r="L47" i="2"/>
  <c r="L44" i="2"/>
  <c r="J44" i="2"/>
  <c r="I77" i="2"/>
  <c r="I40" i="2"/>
  <c r="J45" i="2"/>
  <c r="I158" i="2"/>
  <c r="I152" i="2"/>
  <c r="J82" i="2"/>
  <c r="H79" i="2"/>
  <c r="J79" i="2" s="1"/>
  <c r="L17" i="2"/>
  <c r="J17" i="2"/>
  <c r="H29" i="2"/>
  <c r="L31" i="2"/>
  <c r="J31" i="2"/>
  <c r="H57" i="2"/>
  <c r="J132" i="2"/>
  <c r="L113" i="2"/>
  <c r="J113" i="2"/>
  <c r="G161" i="2"/>
  <c r="D14" i="1" s="1"/>
  <c r="L7" i="2"/>
  <c r="H5" i="2"/>
  <c r="J5" i="2" s="1"/>
  <c r="J7" i="2"/>
  <c r="H107" i="2"/>
  <c r="H53" i="2"/>
  <c r="I14" i="2"/>
  <c r="J15" i="2"/>
  <c r="L52" i="2"/>
  <c r="L67" i="2"/>
  <c r="J67" i="2"/>
  <c r="J28" i="2"/>
  <c r="H26" i="2"/>
  <c r="L28" i="2"/>
  <c r="L65" i="2"/>
  <c r="J65" i="2"/>
  <c r="H61" i="2"/>
  <c r="F40" i="2"/>
  <c r="L89" i="2"/>
  <c r="H86" i="2"/>
  <c r="L86" i="2" s="1"/>
  <c r="J89" i="2"/>
  <c r="H20" i="2"/>
  <c r="I14" i="1"/>
  <c r="L123" i="2"/>
  <c r="J73" i="2"/>
  <c r="L5" i="3"/>
  <c r="C11" i="22" s="1"/>
  <c r="P6" i="3"/>
  <c r="T6" i="3"/>
  <c r="J5" i="3"/>
  <c r="R47" i="18"/>
  <c r="H22" i="18"/>
  <c r="L96" i="3"/>
  <c r="J96" i="3"/>
  <c r="N29" i="18" l="1"/>
  <c r="J55" i="18"/>
  <c r="R17" i="18"/>
  <c r="J87" i="18"/>
  <c r="R87" i="18" s="1"/>
  <c r="R66" i="18"/>
  <c r="J96" i="18"/>
  <c r="Q40" i="18"/>
  <c r="Q97" i="18" s="1"/>
  <c r="N92" i="18"/>
  <c r="N37" i="18"/>
  <c r="N16" i="18"/>
  <c r="R6" i="18"/>
  <c r="E40" i="18"/>
  <c r="E97" i="18" s="1"/>
  <c r="N17" i="18"/>
  <c r="E35" i="18"/>
  <c r="R43" i="18"/>
  <c r="N43" i="18"/>
  <c r="J5" i="18"/>
  <c r="R5" i="18" s="1"/>
  <c r="I40" i="18"/>
  <c r="I97" i="18" s="1"/>
  <c r="M40" i="18"/>
  <c r="M97" i="18" s="1"/>
  <c r="R38" i="18"/>
  <c r="J22" i="18"/>
  <c r="R22" i="18" s="1"/>
  <c r="N32" i="18"/>
  <c r="R28" i="18"/>
  <c r="O122" i="3"/>
  <c r="R29" i="18"/>
  <c r="J36" i="18"/>
  <c r="H35" i="18"/>
  <c r="H40" i="18" s="1"/>
  <c r="H97" i="18" s="1"/>
  <c r="J12" i="18"/>
  <c r="R12" i="18" s="1"/>
  <c r="G123" i="3"/>
  <c r="C16" i="1"/>
  <c r="P103" i="3"/>
  <c r="L102" i="3"/>
  <c r="L8" i="3"/>
  <c r="C12" i="22" s="1"/>
  <c r="P28" i="3"/>
  <c r="L14" i="3"/>
  <c r="C13" i="22" s="1"/>
  <c r="L67" i="3"/>
  <c r="J66" i="3"/>
  <c r="P11" i="3"/>
  <c r="E17" i="1"/>
  <c r="T56" i="3"/>
  <c r="T32" i="3"/>
  <c r="L31" i="3"/>
  <c r="T103" i="3"/>
  <c r="K122" i="3"/>
  <c r="P56" i="3"/>
  <c r="P96" i="3"/>
  <c r="C20" i="22"/>
  <c r="L109" i="3"/>
  <c r="L106" i="3" s="1"/>
  <c r="C22" i="22" s="1"/>
  <c r="T96" i="3"/>
  <c r="C13" i="1"/>
  <c r="S109" i="3"/>
  <c r="S106" i="3" s="1"/>
  <c r="Q106" i="3"/>
  <c r="H106" i="3"/>
  <c r="H122" i="3" s="1"/>
  <c r="P100" i="3"/>
  <c r="G98" i="18"/>
  <c r="R96" i="18"/>
  <c r="N96" i="18"/>
  <c r="N55" i="18"/>
  <c r="R55" i="18"/>
  <c r="P109" i="3"/>
  <c r="L112" i="3"/>
  <c r="C23" i="22" s="1"/>
  <c r="T121" i="3"/>
  <c r="O123" i="3"/>
  <c r="P8" i="3"/>
  <c r="T8" i="3"/>
  <c r="L35" i="2"/>
  <c r="J160" i="2"/>
  <c r="E14" i="1"/>
  <c r="C7" i="22" s="1"/>
  <c r="P44" i="3"/>
  <c r="T44" i="3"/>
  <c r="I98" i="2"/>
  <c r="J105" i="2"/>
  <c r="L105" i="2"/>
  <c r="G159" i="2"/>
  <c r="G162" i="2" s="1"/>
  <c r="H40" i="2"/>
  <c r="J40" i="2" s="1"/>
  <c r="G153" i="2"/>
  <c r="F98" i="2"/>
  <c r="L26" i="2"/>
  <c r="J26" i="2"/>
  <c r="D15" i="1"/>
  <c r="J61" i="2"/>
  <c r="L61" i="2"/>
  <c r="L5" i="2"/>
  <c r="L79" i="2"/>
  <c r="H77" i="2"/>
  <c r="J107" i="2"/>
  <c r="L107" i="2"/>
  <c r="H158" i="2"/>
  <c r="J158" i="2" s="1"/>
  <c r="H152" i="2"/>
  <c r="L29" i="2"/>
  <c r="I37" i="2"/>
  <c r="L60" i="2"/>
  <c r="L72" i="2"/>
  <c r="K153" i="2"/>
  <c r="K156" i="2"/>
  <c r="J57" i="2"/>
  <c r="L57" i="2"/>
  <c r="G14" i="1"/>
  <c r="L20" i="2"/>
  <c r="H14" i="2"/>
  <c r="J20" i="2"/>
  <c r="J86" i="2"/>
  <c r="J29" i="2"/>
  <c r="J53" i="2"/>
  <c r="L53" i="2"/>
  <c r="J60" i="2"/>
  <c r="I157" i="2"/>
  <c r="E13" i="1"/>
  <c r="C6" i="22" s="1"/>
  <c r="C11" i="1"/>
  <c r="P5" i="3"/>
  <c r="T5" i="3"/>
  <c r="J122" i="3"/>
  <c r="N50" i="18"/>
  <c r="R50" i="18"/>
  <c r="N22" i="18"/>
  <c r="H17" i="1"/>
  <c r="J17" i="1"/>
  <c r="C18" i="1"/>
  <c r="F16" i="1" s="1"/>
  <c r="N87" i="18" l="1"/>
  <c r="P106" i="3"/>
  <c r="N12" i="18"/>
  <c r="N5" i="18"/>
  <c r="N36" i="18"/>
  <c r="J35" i="18"/>
  <c r="R36" i="18"/>
  <c r="C21" i="22"/>
  <c r="P102" i="3"/>
  <c r="P14" i="3"/>
  <c r="T102" i="3"/>
  <c r="T14" i="3"/>
  <c r="C14" i="22"/>
  <c r="P31" i="3"/>
  <c r="P67" i="3"/>
  <c r="T67" i="3"/>
  <c r="L66" i="3"/>
  <c r="T106" i="3"/>
  <c r="L123" i="3"/>
  <c r="D16" i="1"/>
  <c r="D18" i="1" s="1"/>
  <c r="D20" i="1" s="1"/>
  <c r="D32" i="1" s="1"/>
  <c r="D30" i="1" s="1"/>
  <c r="T109" i="3"/>
  <c r="I153" i="2"/>
  <c r="E16" i="1"/>
  <c r="H16" i="1" s="1"/>
  <c r="T112" i="3"/>
  <c r="P112" i="3"/>
  <c r="H14" i="1"/>
  <c r="J14" i="1"/>
  <c r="L40" i="2"/>
  <c r="H98" i="2"/>
  <c r="L98" i="2" s="1"/>
  <c r="L14" i="2"/>
  <c r="I11" i="1"/>
  <c r="K159" i="2"/>
  <c r="I156" i="2"/>
  <c r="I159" i="2" s="1"/>
  <c r="L77" i="2"/>
  <c r="H37" i="2"/>
  <c r="J14" i="2"/>
  <c r="F153" i="2"/>
  <c r="F157" i="2"/>
  <c r="L152" i="2"/>
  <c r="J152" i="2"/>
  <c r="L158" i="2"/>
  <c r="J77" i="2"/>
  <c r="H13" i="1"/>
  <c r="J13" i="1"/>
  <c r="E11" i="1"/>
  <c r="C4" i="22" s="1"/>
  <c r="G12" i="1"/>
  <c r="F17" i="1"/>
  <c r="R35" i="18" l="1"/>
  <c r="N35" i="18"/>
  <c r="J40" i="18"/>
  <c r="E18" i="1"/>
  <c r="H18" i="1" s="1"/>
  <c r="C18" i="22"/>
  <c r="C24" i="22" s="1"/>
  <c r="P66" i="3"/>
  <c r="T66" i="3"/>
  <c r="L122" i="3"/>
  <c r="P122" i="3" s="1"/>
  <c r="I15" i="1"/>
  <c r="J11" i="1"/>
  <c r="J98" i="2"/>
  <c r="H157" i="2"/>
  <c r="J157" i="2" s="1"/>
  <c r="K162" i="2"/>
  <c r="F159" i="2"/>
  <c r="F162" i="2" s="1"/>
  <c r="C12" i="1"/>
  <c r="H156" i="2"/>
  <c r="H153" i="2"/>
  <c r="L37" i="2"/>
  <c r="J37" i="2"/>
  <c r="G11" i="1"/>
  <c r="G15" i="1" s="1"/>
  <c r="I162" i="2"/>
  <c r="J97" i="18" l="1"/>
  <c r="R40" i="18"/>
  <c r="N40" i="18"/>
  <c r="L157" i="2"/>
  <c r="H11" i="1"/>
  <c r="H159" i="2"/>
  <c r="L156" i="2"/>
  <c r="C15" i="1"/>
  <c r="E12" i="1"/>
  <c r="C5" i="22" s="1"/>
  <c r="C8" i="22" s="1"/>
  <c r="C25" i="22" s="1"/>
  <c r="J156" i="2"/>
  <c r="L153" i="2"/>
  <c r="J153" i="2"/>
  <c r="G20" i="1"/>
  <c r="G32" i="1" s="1"/>
  <c r="R97" i="18" l="1"/>
  <c r="N97" i="18"/>
  <c r="J12" i="1"/>
  <c r="H12" i="1"/>
  <c r="E15" i="1"/>
  <c r="C20" i="1"/>
  <c r="F11" i="1"/>
  <c r="F14" i="1"/>
  <c r="F13" i="1"/>
  <c r="F12" i="1"/>
  <c r="F15" i="1" s="1"/>
  <c r="H162" i="2"/>
  <c r="J159" i="2"/>
  <c r="L159" i="2"/>
  <c r="E20" i="1" l="1"/>
  <c r="J15" i="1"/>
  <c r="H15" i="1"/>
  <c r="J162" i="2"/>
  <c r="L162" i="2"/>
  <c r="C28" i="1"/>
  <c r="C32" i="1"/>
  <c r="C30" i="1" l="1"/>
  <c r="E28" i="1"/>
  <c r="C30" i="22" s="1"/>
  <c r="C31" i="22" s="1"/>
  <c r="E32" i="1"/>
  <c r="I28" i="1" l="1"/>
  <c r="G28" i="1"/>
  <c r="E30" i="1"/>
  <c r="H28" i="1" l="1"/>
  <c r="G30" i="1"/>
  <c r="J28" i="1"/>
  <c r="S42" i="3" l="1"/>
  <c r="T42" i="3" s="1"/>
  <c r="S31" i="3"/>
  <c r="T31" i="3" s="1"/>
  <c r="Q31" i="3"/>
  <c r="Q122" i="3" s="1"/>
  <c r="S123" i="3" s="1"/>
  <c r="I16" i="1" l="1"/>
  <c r="S122" i="3"/>
  <c r="T122" i="3" s="1"/>
  <c r="I18" i="1" l="1"/>
  <c r="J16" i="1"/>
  <c r="J18" i="1" l="1"/>
  <c r="I20" i="1"/>
  <c r="I32" i="1" l="1"/>
  <c r="I30" i="1" s="1"/>
</calcChain>
</file>

<file path=xl/comments1.xml><?xml version="1.0" encoding="utf-8"?>
<comments xmlns="http://schemas.openxmlformats.org/spreadsheetml/2006/main">
  <authors>
    <author>Kynčlová Miroslava, Ing.</author>
    <author>Trojanová Hana, Ing.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2 000 tis Kč úvěr IROP
569 tis Kč EPC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Trojanová Hana, Ing.</author>
    <author>Město Jilemnice</author>
  </authors>
  <commentList>
    <comment ref="E15" authorId="0" shape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 shapeId="0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 shape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VHP</t>
        </r>
      </text>
    </comment>
    <comment ref="I2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2 500 VHP</t>
        </r>
      </text>
    </comment>
    <comment ref="E25" authorId="0" shape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I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1 200 správa - poplatek za povolení splátek</t>
        </r>
      </text>
    </comment>
    <comment ref="K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2 000 správa - poplatek za povolení splátek (Stáňa)
</t>
        </r>
      </text>
    </comment>
    <comment ref="E27" authorId="0" shape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E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1349 zrušené poplatky
1344 poplatek ze vstupného
</t>
        </r>
      </text>
    </comment>
    <comment ref="I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1 700 ubytovací kapacita
9 000 ze vstupného</t>
        </r>
      </text>
    </comment>
    <comment ref="K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1 700 ubytovací kapacita
18 000 ze vstupného</t>
        </r>
      </text>
    </comment>
    <comment ref="N4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DPH spočítané na příjem 400tis
</t>
        </r>
      </text>
    </comment>
    <comment ref="I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11 701,11 doplatek 2021</t>
        </r>
      </text>
    </comment>
    <comment ref="K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11 701,11 vratak energií</t>
        </r>
      </text>
    </comment>
    <comment ref="I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1 572,93 energie vyúčtování 2021
</t>
        </r>
      </text>
    </comment>
    <comment ref="K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4 590,71 energie vyúčtování 2021</t>
        </r>
      </text>
    </comment>
    <comment ref="F5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dle uzavřených smluv
</t>
        </r>
      </text>
    </comment>
    <comment ref="F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10 - org. 319 restaurace pod radnicí
96 - org. 21 (DC, KRNAP, Kiosek)</t>
        </r>
      </text>
    </comment>
    <comment ref="N5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DPH pouze z restaurace, kiosek NE</t>
        </r>
      </text>
    </comment>
    <comment ref="F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komunální služby a rozvoj Furi
</t>
        </r>
      </text>
    </comment>
    <comment ref="I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3 246,51 komun.služby energie vyúčtování zahr.domek, fontána</t>
        </r>
      </text>
    </comment>
    <comment ref="K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4 713,75 komun.služby energie vyúčtování zahr.domek, fontána</t>
        </r>
      </text>
    </comment>
    <comment ref="F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110
orj18  1000
orj 19  5
dary 2321  150
</t>
        </r>
      </text>
    </comment>
    <comment ref="I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1 490,37 vratka energie 2021
</t>
        </r>
      </text>
    </comment>
    <comment ref="E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2324
43 prodej receptů</t>
        </r>
      </text>
    </comment>
    <comment ref="F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tech popl.sńatky zrušeny
končí exekuce Tužová
250 kniha Jilemnice
</t>
        </r>
      </text>
    </comment>
    <comment ref="I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
14 887 SF
1 683 správa - poštovné Zpravodaj celoroční 2022
8 300 DHM prodej
415 kopírování
53,10 penále čp.1
44 364,26 vratky energie budovy město 2021</t>
        </r>
      </text>
    </comment>
    <comment ref="K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 prodej receptů
14 887 SF
1 723 správa - poštovné za Zpravodaj je to celoročně 2022
8 300 DHM prodej
500 kopírování
106,79 penále čp.1
63 623,34 vratky energie budovy město 2021</t>
        </r>
      </text>
    </comment>
    <comment ref="F5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660 ZŠ Harr
888 ZŠ Kom
338 MŠ
66 ZUŠ
655 SD Jilm
</t>
        </r>
      </text>
    </comment>
    <comment ref="F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1300 kompenzace za tř. odpad
100 služby</t>
        </r>
      </text>
    </comment>
    <comment ref="E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</t>
        </r>
      </text>
    </comment>
    <comment ref="I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11 044,39 2111 elektr+voda
</t>
        </r>
      </text>
    </comment>
    <comment ref="N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Od Marcely tabulka dle smluv  2121/237 areál služeb
</t>
        </r>
      </text>
    </comment>
    <comment ref="F6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826 nájem
195 90%zelený bonus
+ DPH 21%</t>
        </r>
      </text>
    </comment>
    <comment ref="N6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1005 * 0,21%</t>
        </r>
      </text>
    </comment>
    <comment ref="E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 Zásobování teplem</t>
        </r>
      </text>
    </comment>
    <comment ref="F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24+2+54+1+7+275+27+34+8+15+6+5=458
</t>
        </r>
      </text>
    </comment>
    <comment ref="N69" authorId="1" shapeId="0">
      <text>
        <r>
          <rPr>
            <sz val="10"/>
            <color indexed="81"/>
            <rFont val="Tahoma"/>
            <family val="2"/>
            <charset val="238"/>
          </rPr>
          <t xml:space="preserve">48 jilemnická obch.
22 Žalý operátoři
</t>
        </r>
      </text>
    </comment>
    <comment ref="N7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48 DPH z nájemného
</t>
        </r>
      </text>
    </comment>
    <comment ref="E79" authorId="1" shapeId="0">
      <text>
        <r>
          <rPr>
            <sz val="8"/>
            <color indexed="81"/>
            <rFont val="Tahoma"/>
            <family val="2"/>
            <charset val="238"/>
          </rPr>
          <t>32 pasy
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I8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silnice za rok 2021
8 819 policie obecní - vratky energie
17 041 platby kartou nedošlé
</t>
        </r>
      </text>
    </comment>
    <comment ref="K8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silnice za rok 2021
8 819 policie obecní - vratky energie
4617 platby kartou nedošlé
</t>
        </r>
      </text>
    </comment>
    <comment ref="K9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údržba komunikací
8 819,8 OPolicie</t>
        </r>
      </text>
    </comment>
    <comment ref="E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covid
</t>
        </r>
      </text>
    </comment>
    <comment ref="K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47 078 vratky covid grant program</t>
        </r>
      </text>
    </comment>
    <comment ref="I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</t>
        </r>
      </text>
    </comment>
    <comment ref="K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16 800 PO dobrovolná část</t>
        </r>
      </text>
    </comment>
    <comment ref="F10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2080 Petrovická
1500 dražba byt 1+1
2080 Holec
</t>
        </r>
      </text>
    </comment>
    <comment ref="G10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na přípravu suché nádrže na vodním toku Jilemka</t>
        </r>
      </text>
    </comment>
    <comment ref="G11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195,557 Mze ČR pro městské lesy</t>
        </r>
      </text>
    </comment>
    <comment ref="G1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39 projekt polytechnické vzdělávání
</t>
        </r>
      </text>
    </comment>
    <comment ref="G1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MŠ potr. pomoc</t>
        </r>
      </text>
    </comment>
    <comment ref="I1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MPSV ČR pro MŠ
</t>
        </r>
      </text>
    </comment>
    <comment ref="K1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MPSV ČR pro MŠ</t>
        </r>
      </text>
    </comment>
    <comment ref="G14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884 MPSV ČR přes LK
3184 MPSV přes HK
3582 MPSV přes LK</t>
        </r>
      </text>
    </comment>
    <comment ref="I14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883 607 DC
</t>
        </r>
      </text>
    </comment>
    <comment ref="G14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57795 MPSV ČR</t>
        </r>
      </text>
    </comment>
  </commentList>
</comments>
</file>

<file path=xl/comments3.xml><?xml version="1.0" encoding="utf-8"?>
<comments xmlns="http://schemas.openxmlformats.org/spreadsheetml/2006/main">
  <authors>
    <author>Trojanová Hana, Ing.</author>
    <author>Kynčlová Miroslava, Ing.</author>
    <author>Šolcová Ilona, Ing.</author>
    <author>Město Jilemnice</author>
    <author>notebook</author>
    <author>Hanka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provoz
653 mzdy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65557 dotace Mze ČR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137 propagace
350 služby z toho kniha a komiks Jilemnice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projekt příprava suché nádrže na vodním roku Jilemky
130 projekt VO Na Drahách a Na Žuliánce
622 projekt rekonstrukce komunikace Na Drahách a Na Žuliánce
230 130 projekt dešťové kanlizace Na Drahách a Na Žuliánce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
375 původní</t>
        </r>
        <r>
          <rPr>
            <sz val="9"/>
            <color indexed="81"/>
            <rFont val="Tahoma"/>
            <family val="2"/>
            <charset val="238"/>
          </rPr>
          <t xml:space="preserve">
150 projekt příprava suché nádrže na vodním roku Jilemky
130 projekt VO Na Drahách a Na Žuliánce
622 projekt rekonstrukce komunikace Na Drahách a Na Žuliánce
230 130 projekt dešťové kanlizace Na Drahách a Na Žuliánce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 oprava padající zdi pod kopečkem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doplatek avizovaný vícepráce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5000 dotace od nás VHS
500 ostatní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2500 veřejné osvětlení bude více až 4 mil
3000 VHS od nás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1803 veřejné osvětlení doplnění, projekt, vícenáklady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730 mzdy
107 maketa rep.m. zařízení 2 prac. Míst
300 hybrid.pošta
39 kalibrace ČMI
100 uprava prostor pro 2 prac.místa
95 progr. vyb.
90 změny dle gemos na polic.služ.
80 úprava migrace dat
35 napojení na ČP
34 roční poplatek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766 repr. modul+příslušenství
405 software Srvdata center 2x
246 licence GINIS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potravinová pomoc
39 projekt polytechnické vzdělávání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20 804,18 potravinová pomoc
3 671,32 potravinová pomoc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nikdo nepřihlášen do VŘ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2300 střechy 101,103
300 opravy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3tis úroky z úvěru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projektová dokumentace kuchyň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2708 oprava zám. Zdi, dotace kraj 1000
60 povinnosti ze st. Zákona
270 městský grant - povinné příspěvky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1170 obnova zámecké ohradní zdi dofinancování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75 mzdy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2275 knihovna
3659 SD Jilm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847 proj. Zvlášť, ale stále spolu
1250 proj. Kultura tradic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 mzdy</t>
        </r>
      </text>
    </comment>
    <comment ref="E62" authorId="1" shapeId="0">
      <text>
        <r>
          <rPr>
            <sz val="9"/>
            <color indexed="81"/>
            <rFont val="Tahoma"/>
            <family val="2"/>
            <charset val="238"/>
          </rPr>
          <t xml:space="preserve">
50 SKI - Jilemnická 50
30 SKI Hančův memoriál 
20 biatlon</t>
        </r>
      </text>
    </comment>
    <comment ref="E6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130 ocenění akcií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ročně 13 308 036,85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vícenáklady
</t>
        </r>
      </text>
    </comment>
    <comment ref="E71" authorId="2" shapeId="0">
      <text>
        <r>
          <rPr>
            <b/>
            <sz val="9"/>
            <color indexed="81"/>
            <rFont val="Tahoma"/>
            <family val="2"/>
            <charset val="238"/>
          </rPr>
          <t>Šolcová Ilona, Ing.:
171 úroky</t>
        </r>
        <r>
          <rPr>
            <sz val="9"/>
            <color indexed="81"/>
            <rFont val="Tahoma"/>
            <family val="2"/>
            <charset val="238"/>
          </rPr>
          <t xml:space="preserve">
146 000 Kč - MVV energetický management
54 000 Kč - RIB analýza vhodnosti objektů pro EPC (10%)
250 000 - vypracování energetických auditů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291 provoz
200 oprava projekt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tis na navýšení el. energie Elektros 70%
14115 - oprava VO po nehodě mínusem
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345 projekt úspory el. en. VO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 provoz
442 mzdy</t>
        </r>
      </text>
    </comment>
    <comment ref="E85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obnova majetku
358 záloha na rok 2022 (o 10% navýšena skutečnost 2021 - 306tis)
-183 přeplatek 2021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2x dotace inv. 915tis, 31.3.22 a 30.9.22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2317 mzdy
300 soutěž na sekání navíc
300 kruhový objezd výsadba
</t>
        </r>
      </text>
    </comment>
    <comment ref="E97" authorId="4" shapeId="0">
      <text>
        <r>
          <rPr>
            <b/>
            <sz val="9"/>
            <color indexed="81"/>
            <rFont val="Tahoma"/>
            <family val="2"/>
            <charset val="238"/>
          </rPr>
          <t>notebook:</t>
        </r>
        <r>
          <rPr>
            <sz val="9"/>
            <color indexed="81"/>
            <rFont val="Tahoma"/>
            <family val="2"/>
            <charset val="238"/>
          </rPr>
          <t xml:space="preserve">
podíl města 220tis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mzdy  5733
ostatní 591</t>
        </r>
      </text>
    </comment>
    <comment ref="F10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elektromobil 95% by měla být dotace, dle žádosti o dotaci může být cena za pořízení až 880tis - budeme řešit rozp. opatřením
</t>
        </r>
      </text>
    </comment>
    <comment ref="H10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884 MPSV ČR přes LK
3184 MPSV přes HK
3582 MPSV přes LK</t>
        </r>
      </text>
    </comment>
    <comment ref="E10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250tisKč
par 5272 203tisKč
</t>
        </r>
      </text>
    </comment>
    <comment ref="E10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448
1979 mzdy 3 zam
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 voda na Kozinci
50 DPČ
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EZS budov - alarm
230tis</t>
        </r>
      </text>
    </comment>
    <comment ref="E118" authorId="5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31 dotace retnč.nádž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 rezerva odchodné
1550 rezerva ostatní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356,32 kompenzační bonus
-1250 NFV SD Jilm
130 Mze ČR lesy
1150 z MŠ Zámecká</t>
        </r>
      </text>
    </comment>
  </commentList>
</comments>
</file>

<file path=xl/comments4.xml><?xml version="1.0" encoding="utf-8"?>
<comments xmlns="http://schemas.openxmlformats.org/spreadsheetml/2006/main">
  <authors>
    <author>Trojanová Hana, Ing.</author>
    <author>Město Jilemnice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333 sankce
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  <charset val="238"/>
          </rPr>
          <t>org. 113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 údržba webovek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SQL servery 588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195 webové stránky</t>
        </r>
      </text>
    </comment>
    <comment ref="C9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5167  11
5169   14
</t>
        </r>
      </text>
    </comment>
  </commentList>
</comments>
</file>

<file path=xl/sharedStrings.xml><?xml version="1.0" encoding="utf-8"?>
<sst xmlns="http://schemas.openxmlformats.org/spreadsheetml/2006/main" count="1076" uniqueCount="566">
  <si>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</si>
  <si>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</si>
  <si>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</si>
  <si>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</si>
  <si>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</si>
  <si>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</si>
  <si>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</si>
  <si>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</si>
  <si>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</si>
  <si>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</si>
  <si>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</si>
  <si>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</si>
  <si>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</si>
  <si>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</si>
  <si>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</si>
  <si>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</si>
  <si>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</si>
  <si>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</si>
  <si>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</si>
  <si>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</si>
  <si>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</si>
  <si>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</si>
  <si>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</si>
  <si>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</si>
  <si>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</si>
  <si>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</si>
  <si>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</si>
  <si>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</si>
  <si>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</si>
  <si>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</si>
  <si>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</si>
  <si>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</si>
  <si>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</si>
  <si>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</si>
  <si>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</si>
  <si>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</si>
  <si>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</si>
  <si>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</si>
  <si>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</si>
  <si>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</si>
  <si>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</si>
  <si>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</si>
  <si>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</si>
  <si>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</si>
  <si>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</si>
  <si>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</si>
  <si>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</si>
  <si>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</si>
  <si>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</si>
  <si>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</si>
  <si>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</si>
  <si>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</si>
  <si>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</si>
  <si>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</si>
  <si>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</si>
  <si>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</si>
  <si>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</si>
  <si>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</si>
  <si>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</si>
  <si>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</si>
  <si>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</si>
  <si>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</si>
  <si>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</si>
  <si>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</si>
  <si>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</si>
  <si>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</si>
  <si>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</si>
  <si>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</si>
  <si>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</si>
  <si>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Faistauer</t>
  </si>
  <si>
    <t>Doprava,vodovody,kanalizace</t>
  </si>
  <si>
    <t>Kultura, církve a sdělovací  prostř.</t>
  </si>
  <si>
    <t>Vydávání zpravodaje</t>
  </si>
  <si>
    <t>Tělovýchova a zájmová činnost</t>
  </si>
  <si>
    <t>Bydlení, komunální služby a územní rozvoj</t>
  </si>
  <si>
    <t>Veřejné osvětlení- provoz ,opravy</t>
  </si>
  <si>
    <t>Sběr a svoz komun. odpadů</t>
  </si>
  <si>
    <t>Péče o vzhled obcí a veřejnou zeleň</t>
  </si>
  <si>
    <t>Sociální péče</t>
  </si>
  <si>
    <t xml:space="preserve">Obecní policie </t>
  </si>
  <si>
    <t>Státní správa, územní samospráva</t>
  </si>
  <si>
    <t>Místní zastupitelské orgány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</si>
  <si>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</si>
  <si>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</si>
  <si>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</si>
  <si>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</si>
  <si>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</si>
  <si>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Platy zaměst. a ost. platby za práci</t>
  </si>
  <si>
    <t>Platy zaměstnanců</t>
  </si>
  <si>
    <t>OOV</t>
  </si>
  <si>
    <t>Pojistné sociální</t>
  </si>
  <si>
    <t>Pojistné zdravotní</t>
  </si>
  <si>
    <t>Povinné pojistné placené zaměstn.</t>
  </si>
  <si>
    <t>Nákup materiálu</t>
  </si>
  <si>
    <t>Nákup materiálu j.n.</t>
  </si>
  <si>
    <t>Nákup vody, paliv a energie</t>
  </si>
  <si>
    <t>Voda</t>
  </si>
  <si>
    <t>Elektrická energie</t>
  </si>
  <si>
    <t>Nákup služeb</t>
  </si>
  <si>
    <t>Služby pošt</t>
  </si>
  <si>
    <t>Služby telekomunikací a radiokom.</t>
  </si>
  <si>
    <t>Služby peněžních ústavů a pojištění majetku</t>
  </si>
  <si>
    <t>Nájemné</t>
  </si>
  <si>
    <t>Služby školení a vzdělávání</t>
  </si>
  <si>
    <t xml:space="preserve">Nákup služeb j.n. </t>
  </si>
  <si>
    <t>Ostatní nákupy</t>
  </si>
  <si>
    <t>Cestovné</t>
  </si>
  <si>
    <t>Neinvestiční transfery</t>
  </si>
  <si>
    <t>Výdaje sociálního fondu</t>
  </si>
  <si>
    <t>Platby daní a poplatků</t>
  </si>
  <si>
    <t>Kapitálové výdaje</t>
  </si>
  <si>
    <t>Výkup pozemků</t>
  </si>
  <si>
    <t>Příjem z veřejných WC</t>
  </si>
  <si>
    <t>rozpočet</t>
  </si>
  <si>
    <t>Lesní hospodářství</t>
  </si>
  <si>
    <t>Opravy pronajímaných nebyt. prostor</t>
  </si>
  <si>
    <t>Knihy,  a tisk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</si>
  <si>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</si>
  <si>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</si>
  <si>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</si>
  <si>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</si>
  <si>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</si>
  <si>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</si>
  <si>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</si>
  <si>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</si>
  <si>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Teplo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</si>
  <si>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</si>
  <si>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</si>
  <si>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</si>
  <si>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</si>
  <si>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</si>
  <si>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</si>
  <si>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</si>
  <si>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</si>
  <si>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</si>
  <si>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</si>
  <si>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</si>
  <si>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>Šnorbert</t>
  </si>
  <si>
    <t xml:space="preserve">Dopravní obslužnost </t>
  </si>
  <si>
    <t>Kompenzace za tříděný odpad</t>
  </si>
  <si>
    <t>Odvod za nezaměst.zdr. postižených</t>
  </si>
  <si>
    <t>DHIM do 40000,-Kč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</si>
  <si>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</si>
  <si>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</si>
  <si>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</si>
  <si>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</si>
  <si>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</si>
  <si>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</si>
  <si>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</si>
  <si>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Opravy a udržování, programy</t>
  </si>
  <si>
    <t>Programové vybavení</t>
  </si>
  <si>
    <t>stavební</t>
  </si>
  <si>
    <t>Změna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</si>
  <si>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</si>
  <si>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</si>
  <si>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</si>
  <si>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</si>
  <si>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</si>
  <si>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</si>
  <si>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</si>
  <si>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3,4,6,8,9</t>
  </si>
  <si>
    <t>Pokuty živnost.úřad</t>
  </si>
  <si>
    <t>Pohoštění ,dary</t>
  </si>
  <si>
    <t>doprava</t>
  </si>
  <si>
    <t>Prádlo, oděv, obuv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</si>
  <si>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</si>
  <si>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</si>
  <si>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</si>
  <si>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</si>
  <si>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</si>
  <si>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</si>
  <si>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</si>
  <si>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</si>
  <si>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</si>
  <si>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</si>
  <si>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</si>
  <si>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</si>
  <si>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</si>
  <si>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</si>
  <si>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</si>
  <si>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Vojtíšek</t>
  </si>
  <si>
    <t>Zelinka</t>
  </si>
  <si>
    <t>Augustin</t>
  </si>
  <si>
    <t>Cerman</t>
  </si>
  <si>
    <t>Platby do svazků obcí, sdružení</t>
  </si>
  <si>
    <t>příkazce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</si>
  <si>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</si>
  <si>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</si>
  <si>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</si>
  <si>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</si>
  <si>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</si>
  <si>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</si>
  <si>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</si>
  <si>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PHM a maziva</t>
  </si>
  <si>
    <t>Parkovné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</si>
  <si>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</si>
  <si>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</si>
  <si>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</si>
  <si>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</si>
  <si>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</si>
  <si>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Prodej pozemků</t>
  </si>
  <si>
    <t>Prodej nemovitostí - bytů,domů</t>
  </si>
  <si>
    <t xml:space="preserve">Souhrnná neinvestiční dotace </t>
  </si>
  <si>
    <t>dle rozpisu položek v tabulce správa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</si>
  <si>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</si>
  <si>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</si>
  <si>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</si>
  <si>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</si>
  <si>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</si>
  <si>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</si>
  <si>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Pěstební činnost v lesnictví</t>
  </si>
  <si>
    <t xml:space="preserve">Požární ochrana </t>
  </si>
  <si>
    <t>Pojistění majetku města</t>
  </si>
  <si>
    <t>stejná v příjmech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</si>
  <si>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</si>
  <si>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</si>
  <si>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</si>
  <si>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</si>
  <si>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</si>
  <si>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</si>
  <si>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</si>
  <si>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</si>
  <si>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</si>
  <si>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</si>
  <si>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</si>
  <si>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MŠ Jilemnice - příspěvek na provoz</t>
  </si>
  <si>
    <t>ZŠ Komenského- příspěvek na provoz</t>
  </si>
  <si>
    <t>ZŠ Harracha- příspěvek na provoz</t>
  </si>
  <si>
    <t>Czech Point poplatky</t>
  </si>
  <si>
    <t>Příjmy z věcných břemen pozemků</t>
  </si>
  <si>
    <t>Obnova a zachování kult. hodnot</t>
  </si>
  <si>
    <t>Opravy budov MÚ</t>
  </si>
  <si>
    <t>Právní zastoupení města</t>
  </si>
  <si>
    <t>Péče o stromovou zeleň</t>
  </si>
  <si>
    <t>Náhrady v nemoci</t>
  </si>
  <si>
    <t>Dětské centrum příspěvek na provoz</t>
  </si>
  <si>
    <t>Myslivec</t>
  </si>
  <si>
    <t>Platba DPH za ekonomické činnosti</t>
  </si>
  <si>
    <t>Pokuty správní odbor, přestupky</t>
  </si>
  <si>
    <t>Odvody příspěvkových organizací</t>
  </si>
  <si>
    <t>Mládková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</si>
  <si>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</si>
  <si>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</si>
  <si>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</si>
  <si>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</si>
  <si>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</si>
  <si>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</si>
  <si>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</si>
  <si>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DPH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</si>
  <si>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</si>
  <si>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</si>
  <si>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</si>
  <si>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</si>
  <si>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</si>
  <si>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</si>
  <si>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</si>
  <si>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</si>
  <si>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</si>
  <si>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</si>
  <si>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</si>
  <si>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</si>
  <si>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</si>
  <si>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Stravovadlo - Scolarest, ZŠ</t>
  </si>
  <si>
    <t>Kozáková</t>
  </si>
  <si>
    <t>3,14,26</t>
  </si>
  <si>
    <t>Příjmy z úroků ( vč. fondů)</t>
  </si>
  <si>
    <t>Kompostárna - provoz (příspěvek svazku)</t>
  </si>
  <si>
    <t>Jandurová</t>
  </si>
  <si>
    <t>Steinerová</t>
  </si>
  <si>
    <t>3349</t>
  </si>
  <si>
    <t>Kursové rozdíly</t>
  </si>
  <si>
    <t>vč. akcí města</t>
  </si>
  <si>
    <t>Vinklář</t>
  </si>
  <si>
    <t>Vávrová</t>
  </si>
  <si>
    <t>700,701,702</t>
  </si>
  <si>
    <t>Dotace na výkon st. správy -  soc. práci</t>
  </si>
  <si>
    <t>Vébrová</t>
  </si>
  <si>
    <t>RM,ZM</t>
  </si>
  <si>
    <t>Vohnická</t>
  </si>
  <si>
    <t>saldo 0</t>
  </si>
  <si>
    <t>700-702</t>
  </si>
  <si>
    <t>CELKEM ostatní</t>
  </si>
  <si>
    <t>výpočetní technika</t>
  </si>
  <si>
    <t>CELKEM výpočetní technika</t>
  </si>
  <si>
    <t>správa ostatní</t>
  </si>
  <si>
    <t>orj. 1</t>
  </si>
  <si>
    <t>orj.5</t>
  </si>
  <si>
    <t>orj.6</t>
  </si>
  <si>
    <t>orj.7</t>
  </si>
  <si>
    <t>životní prostředí</t>
  </si>
  <si>
    <t>orj. 8</t>
  </si>
  <si>
    <t>orj. 228</t>
  </si>
  <si>
    <t>Soc. práce</t>
  </si>
  <si>
    <t>CELKEM odbor životní</t>
  </si>
  <si>
    <t>CEKLEM odbor stavební</t>
  </si>
  <si>
    <t>CELKEM odbor dopravy</t>
  </si>
  <si>
    <t>CELKEM OSPOD</t>
  </si>
  <si>
    <t>CELKEM soc. práce</t>
  </si>
  <si>
    <t>CELKEM místní správa</t>
  </si>
  <si>
    <t>Mohwald</t>
  </si>
  <si>
    <t>Šnaiberková</t>
  </si>
  <si>
    <t>Opravy a udržování</t>
  </si>
  <si>
    <t>Čerpání 1.Q.</t>
  </si>
  <si>
    <t>Novotná</t>
  </si>
  <si>
    <t>Fűri</t>
  </si>
  <si>
    <t>org</t>
  </si>
  <si>
    <t xml:space="preserve">Dotace LK na pečovatelskou službu </t>
  </si>
  <si>
    <t>Čerpání 2.Q.</t>
  </si>
  <si>
    <t xml:space="preserve">Pokuty ostatní </t>
  </si>
  <si>
    <t>MMN,a.s. - příplatek mimo zákl. kapitál</t>
  </si>
  <si>
    <t>VHS - příspěvky (úroky k úvěru Čistá Jizera)</t>
  </si>
  <si>
    <t>Šolcová</t>
  </si>
  <si>
    <t>Chodník ul. Roztocká - projekce</t>
  </si>
  <si>
    <t>Bulušek</t>
  </si>
  <si>
    <t>Finanční vypořádání z minulých let</t>
  </si>
  <si>
    <t>Dotace na výkon st. správy - soc. právní ochranu dětí</t>
  </si>
  <si>
    <t>Dotace MK ČR na obnovu památek</t>
  </si>
  <si>
    <t>Nájemné ZŠ Libereckého kraje</t>
  </si>
  <si>
    <t>Služby ZŠ Libereckého kraje</t>
  </si>
  <si>
    <t>Nájemné budovy čp. 259</t>
  </si>
  <si>
    <t>Služby nájemníků čp. 259</t>
  </si>
  <si>
    <t>ZUŠ - příspěvek na provoz, čp. 85</t>
  </si>
  <si>
    <t>Sportovní centrum Jilemnice, s.r.o</t>
  </si>
  <si>
    <t>ZŠ Harracha - projekt IROP</t>
  </si>
  <si>
    <t>vyrovnávací platba</t>
  </si>
  <si>
    <t>Nonnerová</t>
  </si>
  <si>
    <t>Lambertová</t>
  </si>
  <si>
    <t>Areál Hraběnka - provoz</t>
  </si>
  <si>
    <t>Daň z hazardních her</t>
  </si>
  <si>
    <t>Splátky úvěrů, dl. závazků</t>
  </si>
  <si>
    <t>Výpočetní technika</t>
  </si>
  <si>
    <t>13015</t>
  </si>
  <si>
    <t>Služby Hraběnka</t>
  </si>
  <si>
    <t>Grantový program Sport</t>
  </si>
  <si>
    <t>Plán rozvoje sportu - dotace na akce</t>
  </si>
  <si>
    <t>Přijatá náhrada za neplnění úspor z projektu EPC</t>
  </si>
  <si>
    <t>Rekonstrukce MŠ Zámecká</t>
  </si>
  <si>
    <t>Hegrová</t>
  </si>
  <si>
    <t>Příprava území k bytové výstavbě - Nouzov</t>
  </si>
  <si>
    <t>Náhrady mezd v době nemoci</t>
  </si>
  <si>
    <t>Grantový program Zdravé město</t>
  </si>
  <si>
    <t>Bucharová</t>
  </si>
  <si>
    <t>Individuální dotace kultura a ost.</t>
  </si>
  <si>
    <t>Individuální dotace tělových. a záj. činnost</t>
  </si>
  <si>
    <t xml:space="preserve">Přijetí  úvěru </t>
  </si>
  <si>
    <t>301, orj. 11</t>
  </si>
  <si>
    <t>Služby</t>
  </si>
  <si>
    <t>Věcné dary</t>
  </si>
  <si>
    <t>Mullerová</t>
  </si>
  <si>
    <t>Financování soc. služeb v ORP Jilemnice</t>
  </si>
  <si>
    <t>Projekt "MAS Sociání práce v Jilemnici"</t>
  </si>
  <si>
    <t>Veřejnopr. smlouvy soc. služby ORP Jilemnice</t>
  </si>
  <si>
    <t>Veřejnopr. smlouvy pečovatelská služba ORP Jilemnice</t>
  </si>
  <si>
    <t>stejné v příjmech</t>
  </si>
  <si>
    <t>Popl. z pobytu</t>
  </si>
  <si>
    <t>Dotace na projekt "MAS Sociání práce v Jilemnici"</t>
  </si>
  <si>
    <t>včetně ověřování</t>
  </si>
  <si>
    <t>Spořilov - komunikace a kanalizace</t>
  </si>
  <si>
    <t>z toho 296 dotace na sportoviště</t>
  </si>
  <si>
    <t>40 dotace Svazku na podvečery</t>
  </si>
  <si>
    <t>ostatní z GP soc. služeb</t>
  </si>
  <si>
    <t>Charitní taxi</t>
  </si>
  <si>
    <t>Popl. za znečišť. životního  prostř. a odnětí ZPF</t>
  </si>
  <si>
    <t>včetně pouti a SC</t>
  </si>
  <si>
    <t>Nouzov komunikace - rekonstrukce</t>
  </si>
  <si>
    <t>Udržitelná mobilita - projekt</t>
  </si>
  <si>
    <t>vč. provozu zahr. domku</t>
  </si>
  <si>
    <t>Smuteční síň - studie, projekt</t>
  </si>
  <si>
    <t>Příprava území k bytové výstavbě - Buben</t>
  </si>
  <si>
    <t>přesun z min. let</t>
  </si>
  <si>
    <t>Rejlová</t>
  </si>
  <si>
    <t>indiv. dotace</t>
  </si>
  <si>
    <t>Otáhalová</t>
  </si>
  <si>
    <t>Vzdělávání</t>
  </si>
  <si>
    <t>Dotace LK a KHK pro DC na sociální služby</t>
  </si>
  <si>
    <t>Použití krizového fondu</t>
  </si>
  <si>
    <t>Dotace na projekt "obnova retenční nádrže nad školou"</t>
  </si>
  <si>
    <t>Dotace na projekt "sociální byty v čp. 70"</t>
  </si>
  <si>
    <t>Projekt Modernizace zařízení pro sběr kom. odpadů</t>
  </si>
  <si>
    <t>Most U Jarmary</t>
  </si>
  <si>
    <t>Příjmy místního hospodářství</t>
  </si>
  <si>
    <t>Dotace na ZŠ Harracha - projekt IROP</t>
  </si>
  <si>
    <t>střecha čp. 103,101</t>
  </si>
  <si>
    <t>ukončení v r. 2021</t>
  </si>
  <si>
    <t>Příjmy ze služeb školního stravování</t>
  </si>
  <si>
    <t>Dotace na projekt Modernizace zařízení pro sběr kom. odpadů</t>
  </si>
  <si>
    <t>Překladiště odpadů - svazek Jilemnicko</t>
  </si>
  <si>
    <t>Cyklostezka Hraběnka - koupaliště</t>
  </si>
  <si>
    <t>Dotace LK pro komunitní plánování</t>
  </si>
  <si>
    <t>Projekt EPC + en. management</t>
  </si>
  <si>
    <t>Dotace na ZŠ Harracha - projekt IROP neinv.</t>
  </si>
  <si>
    <t xml:space="preserve"> grantový program</t>
  </si>
  <si>
    <t>Zůstatek z převodu na DÚ</t>
  </si>
  <si>
    <t>DHIM</t>
  </si>
  <si>
    <t>Doplatek za volby 2020</t>
  </si>
  <si>
    <t>Rezerva zateplení odvod 2008</t>
  </si>
  <si>
    <t>Rozpočet 22</t>
  </si>
  <si>
    <t>Zůstatek z depozitního účtu z r. 2020</t>
  </si>
  <si>
    <t>Rozpočet 2022</t>
  </si>
  <si>
    <t>Vratka do fondu rezerv a rozvoje</t>
  </si>
  <si>
    <t>dotace spolku</t>
  </si>
  <si>
    <t xml:space="preserve">příplatek mimo základní kapitál </t>
  </si>
  <si>
    <t>pokračování z min. let</t>
  </si>
  <si>
    <t xml:space="preserve">změna ÚP </t>
  </si>
  <si>
    <t>Grant. program ORP</t>
  </si>
  <si>
    <t>Hlaváč</t>
  </si>
  <si>
    <t>5110, orj 240</t>
  </si>
  <si>
    <t>Dotace na výkon státní správy</t>
  </si>
  <si>
    <t>Dotace LK na krizové řízení</t>
  </si>
  <si>
    <t>Přijaté pojistné náhrady</t>
  </si>
  <si>
    <t>Přijatá náhrada požární ochrana</t>
  </si>
  <si>
    <t>Dotace pro požární ochranu</t>
  </si>
  <si>
    <t>Příspěvek obcím od MF ČR (kompenzační bodnus)</t>
  </si>
  <si>
    <t>Dotace LK pro městské lesy</t>
  </si>
  <si>
    <t>Dotace z MPSV pro pečovatelskou službu (COVID)</t>
  </si>
  <si>
    <t>Dotace na nákup pozemku pro HZS Libereckého kraje</t>
  </si>
  <si>
    <t>Dotace MPSV (COVID)</t>
  </si>
  <si>
    <t>Dotace MŠMT pro ZŠ I (šablony)</t>
  </si>
  <si>
    <t>Dotace na projekt "Alternativa bez hranic" pro SDJilm</t>
  </si>
  <si>
    <t>Dotace Mze ČR pro městské lesy</t>
  </si>
  <si>
    <t>22,26,27</t>
  </si>
  <si>
    <t xml:space="preserve">Dotace pro MŠ </t>
  </si>
  <si>
    <t>Dotace z MPSV pro Dětské centrum (COVID)</t>
  </si>
  <si>
    <t>Vratka dotací z  min. roku</t>
  </si>
  <si>
    <t>v r. 2021 prominuto</t>
  </si>
  <si>
    <r>
      <t>Tr</t>
    </r>
    <r>
      <rPr>
        <sz val="8"/>
        <rFont val="Calibri"/>
        <family val="2"/>
        <charset val="238"/>
      </rPr>
      <t>ö</t>
    </r>
    <r>
      <rPr>
        <sz val="8"/>
        <rFont val="Arial CE"/>
        <family val="2"/>
        <charset val="238"/>
      </rPr>
      <t>merová</t>
    </r>
  </si>
  <si>
    <t>Dotace MŠMT pro ZŠ II (šablony)</t>
  </si>
  <si>
    <t>Dotace LK pro požární ochranu</t>
  </si>
  <si>
    <t>Dotace LK na cyklostezku Martinice - Jilemnice</t>
  </si>
  <si>
    <t>Dotace na volby do PS</t>
  </si>
  <si>
    <t>Dotace LK pro ZŠ I  a MŠ - péče při COVID pandemii</t>
  </si>
  <si>
    <t>303, 301</t>
  </si>
  <si>
    <t>22,25,26</t>
  </si>
  <si>
    <t>Dotace na LHP v ORP</t>
  </si>
  <si>
    <t>Zpracování lesních hospodářských osnov</t>
  </si>
  <si>
    <t>Informační systém a mobilní rozhlas</t>
  </si>
  <si>
    <t>Nájemné PO města - DC</t>
  </si>
  <si>
    <t>5213, 5272</t>
  </si>
  <si>
    <t xml:space="preserve"> </t>
  </si>
  <si>
    <t>ukončeno</t>
  </si>
  <si>
    <t>Radarový systém</t>
  </si>
  <si>
    <t>schváleno ZM 3.11.21</t>
  </si>
  <si>
    <t>do roku 2028</t>
  </si>
  <si>
    <t>Příjmy z úroků prodej akcií LK</t>
  </si>
  <si>
    <t>Prodej akcií LK - splátka</t>
  </si>
  <si>
    <t>Knihovna - vybavení</t>
  </si>
  <si>
    <t>Výsuvné zábrany</t>
  </si>
  <si>
    <t>Cykolostezka Martinice - koupaliště</t>
  </si>
  <si>
    <t>Pokuty dopravní - radary</t>
  </si>
  <si>
    <t>Přijaté náhrady - lesní osnovy</t>
  </si>
  <si>
    <t>Trojanová</t>
  </si>
  <si>
    <t>Erlebach</t>
  </si>
  <si>
    <t>Zámecký park - studie, podium</t>
  </si>
  <si>
    <t>Jerychová</t>
  </si>
  <si>
    <t>Dotace LK - Evropský týden mobility v Jilemnici</t>
  </si>
  <si>
    <t>SPOD</t>
  </si>
  <si>
    <t>Dotace LK na památky (výměna krytiny ZŠ Kom)</t>
  </si>
  <si>
    <t>227, 229</t>
  </si>
  <si>
    <t>Šimková, Rejlová-kap.</t>
  </si>
  <si>
    <t>Příjem ze zrušených poplatků, vstupné</t>
  </si>
  <si>
    <t>13,14,33,32</t>
  </si>
  <si>
    <t>5175,5194</t>
  </si>
  <si>
    <t>OOPP</t>
  </si>
  <si>
    <t>Workoutové hřiště-Hraběnka</t>
  </si>
  <si>
    <t>Provoz, oprava čp. 259 (staré gymnázium)</t>
  </si>
  <si>
    <t>Cyklostezka Jilem-Mart</t>
  </si>
  <si>
    <t>Dotace LK "Zlatá popelnice"</t>
  </si>
  <si>
    <t>Příjmy z úroků - z poskytn. půjček, dividend</t>
  </si>
  <si>
    <t>akce města u SPOZ, kniha Jilemnice</t>
  </si>
  <si>
    <t>Starý Nouzov</t>
  </si>
  <si>
    <t>projekt 2020-2021, doplatek</t>
  </si>
  <si>
    <t>žádost o dot.</t>
  </si>
  <si>
    <t>v r. 2022 úroky z úvěru</t>
  </si>
  <si>
    <t>Knihovna součástí SD Jilm</t>
  </si>
  <si>
    <t>45 SKI - úprava tratí</t>
  </si>
  <si>
    <t>zvýšení ceny el. energie</t>
  </si>
  <si>
    <t>dle spl. kalendáře do 2035</t>
  </si>
  <si>
    <t>saldo 1155</t>
  </si>
  <si>
    <t>saldo 240</t>
  </si>
  <si>
    <t>EKO-Jilemnicko od 1.4.22</t>
  </si>
  <si>
    <t>webovky, výdaje IT, auto, soc.práce</t>
  </si>
  <si>
    <t>část přesun z 2021</t>
  </si>
  <si>
    <t>vratka ret.nádž část neinv.</t>
  </si>
  <si>
    <t>posunuto řešení do 31.12.23</t>
  </si>
  <si>
    <t>Rekonst. a výstavba děts.parků a hřišť</t>
  </si>
  <si>
    <t>Financování (vyrovnání rozdílu příjmy - výdaje):</t>
  </si>
  <si>
    <t>Příjmy - výdaje:</t>
  </si>
  <si>
    <t>Výdaje:</t>
  </si>
  <si>
    <t>Sk:</t>
  </si>
  <si>
    <t>Příjmy:</t>
  </si>
  <si>
    <t>Přebytek z roku 2021</t>
  </si>
  <si>
    <t xml:space="preserve">Závazné ukazatele rozpočtu na rok 2022 </t>
  </si>
  <si>
    <t>:)</t>
  </si>
  <si>
    <t>úrok dle spl. kalend. do r. 2026</t>
  </si>
  <si>
    <t>inv.přísp. Jilemnicko - sv.obcí</t>
  </si>
  <si>
    <t>Příjmy - výdaje = - financování</t>
  </si>
  <si>
    <t>z toho 142 dotace na sportoviště</t>
  </si>
  <si>
    <t>v tis. Kč</t>
  </si>
  <si>
    <t xml:space="preserve">SC,s.r.o -obnova a investice sport. zařízení </t>
  </si>
  <si>
    <t>Organizace</t>
  </si>
  <si>
    <t xml:space="preserve">Hlavní </t>
  </si>
  <si>
    <t>činnost</t>
  </si>
  <si>
    <t>Doplňková</t>
  </si>
  <si>
    <t>VH</t>
  </si>
  <si>
    <t xml:space="preserve">Fond </t>
  </si>
  <si>
    <t xml:space="preserve">Rozpočet </t>
  </si>
  <si>
    <t>čerpání</t>
  </si>
  <si>
    <t>% čerpání</t>
  </si>
  <si>
    <t>HV</t>
  </si>
  <si>
    <t>Náklady</t>
  </si>
  <si>
    <t>Výnosy</t>
  </si>
  <si>
    <t>investiční</t>
  </si>
  <si>
    <t>rezervní</t>
  </si>
  <si>
    <t>energie</t>
  </si>
  <si>
    <t>kraj</t>
  </si>
  <si>
    <t>Dětské centrum</t>
  </si>
  <si>
    <t>Mateřská škola</t>
  </si>
  <si>
    <t>Společenský dům Jilm</t>
  </si>
  <si>
    <t>Základní škola Harracha</t>
  </si>
  <si>
    <t>Základní škola Komenského</t>
  </si>
  <si>
    <t>Základní umělecká škola</t>
  </si>
  <si>
    <t>C e l k e m</t>
  </si>
  <si>
    <t>k 30.9.</t>
  </si>
  <si>
    <t>13024</t>
  </si>
  <si>
    <t>Dopravní prostředek</t>
  </si>
  <si>
    <t>Prodej knihy Jilemnice</t>
  </si>
  <si>
    <t>1.Q.2022</t>
  </si>
  <si>
    <t>2.Q.2022</t>
  </si>
  <si>
    <t>Čerpání 1.Q.2022</t>
  </si>
  <si>
    <t>Čerpání 2.Q.2022</t>
  </si>
  <si>
    <t>Volby  do ZM</t>
  </si>
  <si>
    <t>Zůstatek z roku 2021</t>
  </si>
  <si>
    <t>Rozpočet na rok 2022 schválen v ZM dne 2. 3. 2022 pod č. usn. 1/29ZM/22.</t>
  </si>
  <si>
    <t>Komunikace Hanče a Vrbaty - rekonstrukce</t>
  </si>
  <si>
    <t>smlouva od r. 2020 do r. 2023</t>
  </si>
  <si>
    <t>Ostatní přijaté vratky transferů</t>
  </si>
  <si>
    <t>Dotace LK pro školy potravinová pomoc</t>
  </si>
  <si>
    <t xml:space="preserve">Přijaté příspěvky a náhrady </t>
  </si>
  <si>
    <t>13,14,19,27,314</t>
  </si>
  <si>
    <t>62,63,64</t>
  </si>
  <si>
    <t>Humanitární zahraniční pomoc přímá</t>
  </si>
  <si>
    <t>není rozpočtováno</t>
  </si>
  <si>
    <t>120113014</t>
  </si>
  <si>
    <t>Krausová</t>
  </si>
  <si>
    <t>Návratná fin.výp. 2 projekty pro SD Jilm</t>
  </si>
  <si>
    <t>2 projekty spolupráce do 2024</t>
  </si>
  <si>
    <t>nově DPH</t>
  </si>
  <si>
    <t>Dar Investiční - NF Škoda auto</t>
  </si>
  <si>
    <t>Projekty do 60000 /nad 60000</t>
  </si>
  <si>
    <t>Autobusové nádraží - oprava, pronájem</t>
  </si>
  <si>
    <t>org./orj.</t>
  </si>
  <si>
    <t>5103, orj. 51</t>
  </si>
  <si>
    <t>5103, orj.220</t>
  </si>
  <si>
    <t>314,911,43</t>
  </si>
  <si>
    <t>k upr.rozpočtu</t>
  </si>
  <si>
    <t>Műllerová, Šnorbert - investice</t>
  </si>
  <si>
    <t>Přehled hospodaření příspěvkových organizací ke 30. 6. 2022</t>
  </si>
  <si>
    <r>
      <t xml:space="preserve">MĚSTO JILEMNICE -  </t>
    </r>
    <r>
      <rPr>
        <b/>
        <sz val="13"/>
        <rFont val="Arial CE"/>
        <charset val="238"/>
      </rPr>
      <t>Rozpočet 2022 -  Hospodaření za 1. pololetí 2022</t>
    </r>
    <r>
      <rPr>
        <b/>
        <sz val="14"/>
        <rFont val="Arial CE"/>
        <family val="2"/>
        <charset val="238"/>
      </rPr>
      <t xml:space="preserve"> - sumář</t>
    </r>
  </si>
  <si>
    <t>MĚSTO JILEMNICE -  Rozpočet 2022 -  Hospodaření 1. pololetí 2022 - příjmy</t>
  </si>
  <si>
    <t>MĚSTO JILEMNICE -   Rozpočet 2022 -  Hospodaření 1. pololetí 2022  - výdaje</t>
  </si>
  <si>
    <t xml:space="preserve"> § 6171 - ČINNOST MÍSTNÍ SPRÁVY - Rozpočet 2022 - Hospodaření 1. pololetí 2022</t>
  </si>
  <si>
    <t>Návrh rozpočtu na rok 2022 projednán a doporučen RM dne 18. 2. 2022 pod č. usn. 1/RM74/22.</t>
  </si>
  <si>
    <t>Návrh rozpočtu na rok 2022 projednán a doporučen FV dne 14. 2. 2022.</t>
  </si>
  <si>
    <t>Návrh rozpočtu na rok  2022 projednán a doporučen ve vedení města 3. 2. 2022.</t>
  </si>
  <si>
    <t>šetří se +</t>
  </si>
  <si>
    <t>z toho DPH 450tis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</si>
</sst>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.0"/>
    <numFmt numFmtId="165" formatCode="0.0"/>
    <numFmt numFmtId="166" formatCode="#,##0.000000"/>
    <numFmt numFmtId="167" formatCode="#,##0.00000"/>
    <numFmt numFmtId="168" formatCode="#,##0.000"/>
    <numFmt numFmtId="169" formatCode="0.0%"/>
    <numFmt numFmtId="170" formatCode="#,##0_ ;[Red]\-#,##0\ "/>
    <numFmt numFmtId="171" formatCode="d/m/yy;@"/>
    <numFmt numFmtId="172" formatCode="#,##0.0000"/>
    <numFmt numFmtId="173" formatCode="#,##0.0_ ;[Red]\-#,##0.0\ "/>
    <numFmt numFmtId="174" formatCode="#,##0.00_ ;[Red]\-#,##0.00\ "/>
    <numFmt numFmtId="175" formatCode="#,##0.00000000"/>
    <numFmt numFmtId="176" formatCode="0.000"/>
    <numFmt numFmtId="177" formatCode="0.00000"/>
    <numFmt numFmtId="178" formatCode="0.0000"/>
  </numFmts>
  <fonts count="43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7"/>
      <name val="Arial CE"/>
      <charset val="238"/>
    </font>
    <font>
      <i/>
      <sz val="8"/>
      <name val="Arial CE"/>
      <charset val="238"/>
    </font>
    <font>
      <i/>
      <sz val="8"/>
      <color indexed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7"/>
      <name val="Arial CE"/>
      <charset val="238"/>
    </font>
    <font>
      <sz val="14"/>
      <color theme="0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9"/>
      <name val="Arial CE"/>
      <charset val="238"/>
    </font>
    <font>
      <sz val="7"/>
      <color theme="4"/>
      <name val="Arial CE"/>
      <charset val="238"/>
    </font>
    <font>
      <sz val="10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3" fillId="0" borderId="0"/>
    <xf numFmtId="9" fontId="1" fillId="0" borderId="0" applyFont="0" applyFill="0" applyBorder="0" applyAlignment="0" applyProtection="0"/>
    <xf numFmtId="0" fontId="41" fillId="0" borderId="0"/>
  </cellStyleXfs>
  <cellXfs count="57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4" fillId="0" borderId="7" xfId="0" applyNumberFormat="1" applyFont="1" applyFill="1" applyBorder="1" applyAlignment="1" applyProtection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5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6" fillId="0" borderId="13" xfId="0" applyNumberFormat="1" applyFont="1" applyFill="1" applyBorder="1" applyAlignment="1" applyProtection="1"/>
    <xf numFmtId="0" fontId="5" fillId="0" borderId="13" xfId="0" applyNumberFormat="1" applyFont="1" applyFill="1" applyBorder="1" applyAlignment="1" applyProtection="1"/>
    <xf numFmtId="164" fontId="9" fillId="0" borderId="14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164" fontId="10" fillId="0" borderId="15" xfId="0" applyNumberFormat="1" applyFont="1" applyFill="1" applyBorder="1" applyAlignment="1" applyProtection="1">
      <alignment horizontal="right"/>
    </xf>
    <xf numFmtId="0" fontId="11" fillId="3" borderId="16" xfId="0" applyNumberFormat="1" applyFont="1" applyFill="1" applyBorder="1" applyAlignment="1" applyProtection="1"/>
    <xf numFmtId="0" fontId="12" fillId="3" borderId="1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7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164" fontId="13" fillId="0" borderId="18" xfId="0" applyNumberFormat="1" applyFont="1" applyFill="1" applyBorder="1" applyAlignment="1" applyProtection="1">
      <alignment horizontal="right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3" xfId="0" applyNumberFormat="1" applyFont="1" applyFill="1" applyBorder="1" applyAlignment="1" applyProtection="1"/>
    <xf numFmtId="3" fontId="5" fillId="0" borderId="13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3" fontId="5" fillId="0" borderId="0" xfId="0" applyNumberFormat="1" applyFont="1"/>
    <xf numFmtId="0" fontId="4" fillId="0" borderId="2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8" fillId="0" borderId="14" xfId="0" applyNumberFormat="1" applyFont="1" applyFill="1" applyBorder="1" applyAlignment="1" applyProtection="1"/>
    <xf numFmtId="3" fontId="6" fillId="0" borderId="24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0" fontId="3" fillId="0" borderId="25" xfId="0" applyFont="1" applyBorder="1"/>
    <xf numFmtId="0" fontId="3" fillId="0" borderId="26" xfId="0" applyFont="1" applyBorder="1"/>
    <xf numFmtId="3" fontId="5" fillId="0" borderId="26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9" xfId="0" applyNumberFormat="1" applyFont="1" applyFill="1" applyBorder="1" applyAlignment="1" applyProtection="1"/>
    <xf numFmtId="0" fontId="5" fillId="0" borderId="28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0" fontId="16" fillId="0" borderId="0" xfId="0" applyFont="1" applyFill="1"/>
    <xf numFmtId="0" fontId="5" fillId="0" borderId="14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right"/>
    </xf>
    <xf numFmtId="3" fontId="9" fillId="3" borderId="13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4" fillId="0" borderId="3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5" fillId="0" borderId="31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168" fontId="4" fillId="0" borderId="5" xfId="0" applyNumberFormat="1" applyFont="1" applyFill="1" applyBorder="1" applyAlignment="1" applyProtection="1">
      <alignment horizontal="center"/>
    </xf>
    <xf numFmtId="168" fontId="16" fillId="0" borderId="0" xfId="0" applyNumberFormat="1" applyFont="1" applyFill="1" applyBorder="1" applyAlignment="1" applyProtection="1">
      <alignment horizontal="right"/>
    </xf>
    <xf numFmtId="168" fontId="4" fillId="0" borderId="12" xfId="0" applyNumberFormat="1" applyFont="1" applyFill="1" applyBorder="1" applyAlignment="1" applyProtection="1">
      <alignment horizontal="center"/>
    </xf>
    <xf numFmtId="168" fontId="9" fillId="2" borderId="10" xfId="0" applyNumberFormat="1" applyFont="1" applyFill="1" applyBorder="1" applyAlignment="1" applyProtection="1">
      <alignment horizontal="right"/>
    </xf>
    <xf numFmtId="168" fontId="16" fillId="0" borderId="0" xfId="0" applyNumberFormat="1" applyFont="1" applyFill="1"/>
    <xf numFmtId="3" fontId="16" fillId="0" borderId="0" xfId="0" applyNumberFormat="1" applyFont="1" applyFill="1"/>
    <xf numFmtId="3" fontId="10" fillId="0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3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5" fillId="0" borderId="10" xfId="0" applyNumberFormat="1" applyFont="1" applyFill="1" applyBorder="1"/>
    <xf numFmtId="0" fontId="3" fillId="0" borderId="2" xfId="0" applyFont="1" applyFill="1" applyBorder="1"/>
    <xf numFmtId="0" fontId="2" fillId="0" borderId="0" xfId="0" applyFont="1" applyFill="1"/>
    <xf numFmtId="0" fontId="4" fillId="0" borderId="35" xfId="0" applyNumberFormat="1" applyFont="1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3" fontId="4" fillId="0" borderId="15" xfId="0" applyNumberFormat="1" applyFont="1" applyFill="1" applyBorder="1" applyAlignment="1" applyProtection="1">
      <alignment horizontal="right"/>
    </xf>
    <xf numFmtId="3" fontId="4" fillId="0" borderId="31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0" fontId="16" fillId="3" borderId="0" xfId="0" applyFont="1" applyFill="1"/>
    <xf numFmtId="3" fontId="6" fillId="0" borderId="9" xfId="0" applyNumberFormat="1" applyFont="1" applyFill="1" applyBorder="1" applyAlignment="1" applyProtection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6" fillId="0" borderId="22" xfId="0" applyNumberFormat="1" applyFont="1" applyFill="1" applyBorder="1" applyAlignment="1" applyProtection="1"/>
    <xf numFmtId="3" fontId="8" fillId="0" borderId="17" xfId="0" applyNumberFormat="1" applyFont="1" applyFill="1" applyBorder="1" applyAlignment="1" applyProtection="1"/>
    <xf numFmtId="164" fontId="18" fillId="0" borderId="10" xfId="0" applyNumberFormat="1" applyFont="1" applyFill="1" applyBorder="1" applyAlignment="1" applyProtection="1">
      <alignment horizontal="right"/>
    </xf>
    <xf numFmtId="0" fontId="5" fillId="0" borderId="37" xfId="0" applyNumberFormat="1" applyFont="1" applyFill="1" applyBorder="1" applyAlignment="1" applyProtection="1"/>
    <xf numFmtId="164" fontId="9" fillId="0" borderId="15" xfId="0" applyNumberFormat="1" applyFont="1" applyFill="1" applyBorder="1" applyAlignment="1" applyProtection="1">
      <alignment horizontal="right"/>
    </xf>
    <xf numFmtId="0" fontId="3" fillId="0" borderId="36" xfId="0" applyFont="1" applyBorder="1"/>
    <xf numFmtId="0" fontId="3" fillId="0" borderId="38" xfId="0" applyFont="1" applyBorder="1"/>
    <xf numFmtId="0" fontId="16" fillId="0" borderId="39" xfId="0" applyFont="1" applyBorder="1"/>
    <xf numFmtId="0" fontId="3" fillId="0" borderId="39" xfId="0" applyFont="1" applyBorder="1"/>
    <xf numFmtId="0" fontId="3" fillId="0" borderId="39" xfId="0" applyFont="1" applyBorder="1" applyAlignment="1">
      <alignment horizontal="right"/>
    </xf>
    <xf numFmtId="49" fontId="16" fillId="0" borderId="39" xfId="0" applyNumberFormat="1" applyFont="1" applyBorder="1" applyAlignment="1">
      <alignment horizontal="right"/>
    </xf>
    <xf numFmtId="0" fontId="16" fillId="0" borderId="38" xfId="0" applyFont="1" applyBorder="1"/>
    <xf numFmtId="0" fontId="5" fillId="0" borderId="0" xfId="0" applyFont="1" applyFill="1" applyAlignment="1"/>
    <xf numFmtId="4" fontId="5" fillId="0" borderId="0" xfId="0" applyNumberFormat="1" applyFont="1" applyFill="1" applyAlignment="1"/>
    <xf numFmtId="0" fontId="8" fillId="0" borderId="2" xfId="0" applyNumberFormat="1" applyFont="1" applyFill="1" applyBorder="1" applyAlignment="1" applyProtection="1">
      <alignment horizontal="left"/>
    </xf>
    <xf numFmtId="0" fontId="8" fillId="0" borderId="5" xfId="0" applyFont="1" applyBorder="1" applyAlignment="1">
      <alignment horizontal="left"/>
    </xf>
    <xf numFmtId="168" fontId="5" fillId="0" borderId="7" xfId="0" applyNumberFormat="1" applyFont="1" applyBorder="1"/>
    <xf numFmtId="168" fontId="4" fillId="0" borderId="7" xfId="0" applyNumberFormat="1" applyFont="1" applyFill="1" applyBorder="1" applyAlignment="1" applyProtection="1"/>
    <xf numFmtId="0" fontId="6" fillId="0" borderId="0" xfId="0" applyFont="1"/>
    <xf numFmtId="0" fontId="8" fillId="0" borderId="9" xfId="0" applyNumberFormat="1" applyFont="1" applyFill="1" applyBorder="1" applyAlignment="1" applyProtection="1">
      <alignment horizontal="center"/>
    </xf>
    <xf numFmtId="0" fontId="8" fillId="0" borderId="22" xfId="0" applyNumberFormat="1" applyFont="1" applyFill="1" applyBorder="1" applyAlignment="1" applyProtection="1">
      <alignment horizontal="center"/>
    </xf>
    <xf numFmtId="49" fontId="8" fillId="0" borderId="9" xfId="0" applyNumberFormat="1" applyFont="1" applyFill="1" applyBorder="1" applyAlignment="1" applyProtection="1">
      <alignment horizontal="left"/>
    </xf>
    <xf numFmtId="0" fontId="8" fillId="0" borderId="1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5" fillId="0" borderId="10" xfId="0" applyNumberFormat="1" applyFont="1" applyFill="1" applyBorder="1" applyAlignment="1" applyProtection="1">
      <alignment horizontal="right"/>
    </xf>
    <xf numFmtId="167" fontId="5" fillId="0" borderId="14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4" fontId="10" fillId="3" borderId="24" xfId="0" applyNumberFormat="1" applyFont="1" applyFill="1" applyBorder="1" applyAlignment="1" applyProtection="1">
      <alignment horizontal="right"/>
    </xf>
    <xf numFmtId="0" fontId="16" fillId="0" borderId="33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167" fontId="16" fillId="0" borderId="15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0" xfId="0" applyFont="1" applyAlignment="1">
      <alignment horizontal="right"/>
    </xf>
    <xf numFmtId="49" fontId="5" fillId="0" borderId="10" xfId="0" applyNumberFormat="1" applyFont="1" applyFill="1" applyBorder="1" applyAlignment="1" applyProtection="1"/>
    <xf numFmtId="0" fontId="0" fillId="0" borderId="0" xfId="0" applyBorder="1" applyAlignment="1"/>
    <xf numFmtId="0" fontId="0" fillId="0" borderId="0" xfId="0" applyFill="1" applyBorder="1" applyAlignment="1"/>
    <xf numFmtId="3" fontId="5" fillId="5" borderId="8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3" xfId="0" applyNumberFormat="1" applyFont="1" applyFill="1" applyBorder="1" applyAlignment="1" applyProtection="1"/>
    <xf numFmtId="3" fontId="5" fillId="5" borderId="23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20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2" xfId="0" applyNumberFormat="1" applyFont="1" applyFill="1" applyBorder="1" applyAlignment="1" applyProtection="1"/>
    <xf numFmtId="164" fontId="16" fillId="0" borderId="0" xfId="0" applyNumberFormat="1" applyFont="1" applyFill="1"/>
    <xf numFmtId="0" fontId="16" fillId="0" borderId="0" xfId="0" applyFont="1" applyFill="1" applyBorder="1"/>
    <xf numFmtId="0" fontId="5" fillId="0" borderId="15" xfId="0" applyFont="1" applyFill="1" applyBorder="1" applyAlignment="1">
      <alignment horizontal="right"/>
    </xf>
    <xf numFmtId="3" fontId="5" fillId="0" borderId="1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8" fontId="1" fillId="0" borderId="0" xfId="0" applyNumberFormat="1" applyFont="1" applyFill="1"/>
    <xf numFmtId="168" fontId="6" fillId="0" borderId="0" xfId="0" applyNumberFormat="1" applyFont="1" applyFill="1"/>
    <xf numFmtId="3" fontId="4" fillId="0" borderId="47" xfId="0" applyNumberFormat="1" applyFont="1" applyFill="1" applyBorder="1" applyAlignment="1" applyProtection="1"/>
    <xf numFmtId="16" fontId="16" fillId="0" borderId="0" xfId="0" applyNumberFormat="1" applyFont="1"/>
    <xf numFmtId="3" fontId="5" fillId="0" borderId="15" xfId="0" applyNumberFormat="1" applyFont="1" applyFill="1" applyBorder="1" applyAlignment="1" applyProtection="1"/>
    <xf numFmtId="3" fontId="3" fillId="0" borderId="18" xfId="0" applyNumberFormat="1" applyFont="1" applyFill="1" applyBorder="1" applyAlignment="1" applyProtection="1">
      <alignment horizontal="right"/>
    </xf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0" fontId="4" fillId="0" borderId="26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/>
    <xf numFmtId="171" fontId="4" fillId="0" borderId="5" xfId="0" applyNumberFormat="1" applyFont="1" applyFill="1" applyBorder="1" applyAlignment="1" applyProtection="1">
      <alignment horizontal="center"/>
    </xf>
    <xf numFmtId="3" fontId="19" fillId="0" borderId="10" xfId="0" applyNumberFormat="1" applyFont="1" applyFill="1" applyBorder="1" applyAlignment="1" applyProtection="1">
      <alignment horizontal="right"/>
    </xf>
    <xf numFmtId="0" fontId="4" fillId="0" borderId="49" xfId="0" applyNumberFormat="1" applyFont="1" applyFill="1" applyBorder="1" applyAlignment="1" applyProtection="1">
      <alignment horizontal="center"/>
    </xf>
    <xf numFmtId="4" fontId="0" fillId="0" borderId="0" xfId="0" applyNumberFormat="1"/>
    <xf numFmtId="4" fontId="5" fillId="0" borderId="10" xfId="0" applyNumberFormat="1" applyFont="1" applyFill="1" applyBorder="1" applyAlignment="1" applyProtection="1">
      <alignment horizontal="right"/>
    </xf>
    <xf numFmtId="0" fontId="16" fillId="11" borderId="0" xfId="0" applyFont="1" applyFill="1"/>
    <xf numFmtId="3" fontId="6" fillId="0" borderId="46" xfId="0" applyNumberFormat="1" applyFont="1" applyFill="1" applyBorder="1" applyAlignment="1" applyProtection="1"/>
    <xf numFmtId="3" fontId="6" fillId="0" borderId="27" xfId="0" applyNumberFormat="1" applyFont="1" applyFill="1" applyBorder="1" applyAlignment="1" applyProtection="1"/>
    <xf numFmtId="3" fontId="4" fillId="0" borderId="46" xfId="0" applyNumberFormat="1" applyFont="1" applyFill="1" applyBorder="1" applyAlignment="1" applyProtection="1"/>
    <xf numFmtId="3" fontId="8" fillId="0" borderId="49" xfId="0" applyNumberFormat="1" applyFont="1" applyFill="1" applyBorder="1" applyAlignment="1" applyProtection="1"/>
    <xf numFmtId="0" fontId="8" fillId="0" borderId="51" xfId="0" applyNumberFormat="1" applyFont="1" applyFill="1" applyBorder="1" applyAlignment="1" applyProtection="1"/>
    <xf numFmtId="3" fontId="8" fillId="0" borderId="52" xfId="0" applyNumberFormat="1" applyFont="1" applyFill="1" applyBorder="1" applyAlignment="1" applyProtection="1"/>
    <xf numFmtId="0" fontId="4" fillId="0" borderId="53" xfId="0" applyNumberFormat="1" applyFont="1" applyFill="1" applyBorder="1" applyAlignment="1" applyProtection="1">
      <alignment horizontal="left"/>
    </xf>
    <xf numFmtId="0" fontId="4" fillId="10" borderId="37" xfId="0" applyNumberFormat="1" applyFont="1" applyFill="1" applyBorder="1" applyAlignment="1" applyProtection="1">
      <alignment horizontal="center"/>
    </xf>
    <xf numFmtId="0" fontId="4" fillId="10" borderId="9" xfId="0" applyNumberFormat="1" applyFont="1" applyFill="1" applyBorder="1" applyAlignment="1" applyProtection="1">
      <alignment horizontal="center"/>
    </xf>
    <xf numFmtId="0" fontId="4" fillId="10" borderId="10" xfId="0" applyNumberFormat="1" applyFont="1" applyFill="1" applyBorder="1" applyAlignment="1" applyProtection="1">
      <alignment horizontal="center"/>
    </xf>
    <xf numFmtId="0" fontId="4" fillId="10" borderId="8" xfId="0" applyNumberFormat="1" applyFont="1" applyFill="1" applyBorder="1" applyAlignment="1" applyProtection="1">
      <alignment horizontal="center"/>
    </xf>
    <xf numFmtId="0" fontId="8" fillId="12" borderId="17" xfId="0" applyNumberFormat="1" applyFont="1" applyFill="1" applyBorder="1" applyAlignment="1" applyProtection="1">
      <alignment horizontal="center"/>
    </xf>
    <xf numFmtId="0" fontId="8" fillId="12" borderId="51" xfId="0" applyNumberFormat="1" applyFont="1" applyFill="1" applyBorder="1" applyAlignment="1" applyProtection="1"/>
    <xf numFmtId="0" fontId="8" fillId="12" borderId="14" xfId="0" applyNumberFormat="1" applyFont="1" applyFill="1" applyBorder="1" applyAlignment="1" applyProtection="1">
      <alignment horizontal="center"/>
    </xf>
    <xf numFmtId="3" fontId="8" fillId="12" borderId="49" xfId="0" applyNumberFormat="1" applyFont="1" applyFill="1" applyBorder="1" applyAlignment="1" applyProtection="1">
      <alignment horizontal="center"/>
    </xf>
    <xf numFmtId="0" fontId="8" fillId="12" borderId="52" xfId="0" applyNumberFormat="1" applyFont="1" applyFill="1" applyBorder="1" applyAlignment="1" applyProtection="1">
      <alignment horizontal="center"/>
    </xf>
    <xf numFmtId="3" fontId="8" fillId="0" borderId="33" xfId="0" applyNumberFormat="1" applyFont="1" applyFill="1" applyBorder="1" applyAlignment="1" applyProtection="1"/>
    <xf numFmtId="3" fontId="4" fillId="0" borderId="25" xfId="0" applyNumberFormat="1" applyFont="1" applyFill="1" applyBorder="1" applyAlignment="1" applyProtection="1"/>
    <xf numFmtId="3" fontId="19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8" fillId="11" borderId="17" xfId="0" applyNumberFormat="1" applyFont="1" applyFill="1" applyBorder="1" applyAlignment="1" applyProtection="1">
      <alignment horizontal="center"/>
    </xf>
    <xf numFmtId="0" fontId="8" fillId="11" borderId="51" xfId="0" applyNumberFormat="1" applyFont="1" applyFill="1" applyBorder="1" applyAlignment="1" applyProtection="1"/>
    <xf numFmtId="3" fontId="8" fillId="11" borderId="17" xfId="0" applyNumberFormat="1" applyFont="1" applyFill="1" applyBorder="1" applyAlignment="1" applyProtection="1"/>
    <xf numFmtId="3" fontId="8" fillId="11" borderId="34" xfId="0" applyNumberFormat="1" applyFont="1" applyFill="1" applyBorder="1" applyAlignment="1" applyProtection="1"/>
    <xf numFmtId="0" fontId="0" fillId="11" borderId="34" xfId="0" applyFill="1" applyBorder="1"/>
    <xf numFmtId="0" fontId="6" fillId="11" borderId="41" xfId="0" applyFont="1" applyFill="1" applyBorder="1"/>
    <xf numFmtId="49" fontId="4" fillId="0" borderId="26" xfId="0" applyNumberFormat="1" applyFont="1" applyFill="1" applyBorder="1"/>
    <xf numFmtId="0" fontId="2" fillId="0" borderId="29" xfId="0" applyNumberFormat="1" applyFont="1" applyFill="1" applyBorder="1" applyAlignment="1" applyProtection="1">
      <alignment horizontal="left"/>
    </xf>
    <xf numFmtId="0" fontId="5" fillId="0" borderId="37" xfId="0" applyFont="1" applyFill="1" applyBorder="1"/>
    <xf numFmtId="3" fontId="5" fillId="2" borderId="23" xfId="0" applyNumberFormat="1" applyFont="1" applyFill="1" applyBorder="1" applyAlignment="1" applyProtection="1"/>
    <xf numFmtId="3" fontId="19" fillId="9" borderId="23" xfId="0" applyNumberFormat="1" applyFont="1" applyFill="1" applyBorder="1" applyAlignment="1" applyProtection="1">
      <alignment horizontal="left"/>
    </xf>
    <xf numFmtId="3" fontId="6" fillId="9" borderId="22" xfId="0" applyNumberFormat="1" applyFont="1" applyFill="1" applyBorder="1" applyAlignment="1" applyProtection="1"/>
    <xf numFmtId="0" fontId="4" fillId="0" borderId="30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2" xfId="0" applyFont="1" applyFill="1" applyBorder="1"/>
    <xf numFmtId="0" fontId="5" fillId="0" borderId="4" xfId="0" applyNumberFormat="1" applyFont="1" applyFill="1" applyBorder="1" applyAlignment="1" applyProtection="1"/>
    <xf numFmtId="164" fontId="9" fillId="3" borderId="13" xfId="0" applyNumberFormat="1" applyFont="1" applyFill="1" applyBorder="1" applyAlignment="1" applyProtection="1">
      <alignment horizontal="right"/>
    </xf>
    <xf numFmtId="0" fontId="5" fillId="0" borderId="10" xfId="0" applyFont="1" applyFill="1" applyBorder="1"/>
    <xf numFmtId="9" fontId="0" fillId="0" borderId="0" xfId="2" applyFont="1"/>
    <xf numFmtId="171" fontId="4" fillId="0" borderId="17" xfId="0" applyNumberFormat="1" applyFont="1" applyFill="1" applyBorder="1" applyAlignment="1" applyProtection="1">
      <alignment horizontal="center"/>
    </xf>
    <xf numFmtId="9" fontId="4" fillId="0" borderId="33" xfId="2" applyFont="1" applyFill="1" applyBorder="1" applyAlignment="1" applyProtection="1"/>
    <xf numFmtId="0" fontId="8" fillId="12" borderId="33" xfId="0" applyNumberFormat="1" applyFont="1" applyFill="1" applyBorder="1" applyAlignment="1" applyProtection="1">
      <alignment horizontal="center"/>
    </xf>
    <xf numFmtId="9" fontId="4" fillId="0" borderId="32" xfId="2" applyFont="1" applyFill="1" applyBorder="1" applyAlignment="1" applyProtection="1"/>
    <xf numFmtId="9" fontId="6" fillId="0" borderId="15" xfId="2" applyFont="1" applyFill="1" applyBorder="1" applyAlignment="1" applyProtection="1"/>
    <xf numFmtId="9" fontId="6" fillId="0" borderId="42" xfId="2" applyFont="1" applyFill="1" applyBorder="1" applyAlignment="1" applyProtection="1"/>
    <xf numFmtId="9" fontId="8" fillId="12" borderId="33" xfId="2" applyFont="1" applyFill="1" applyBorder="1" applyAlignment="1" applyProtection="1">
      <alignment horizontal="center"/>
    </xf>
    <xf numFmtId="169" fontId="8" fillId="11" borderId="33" xfId="2" applyNumberFormat="1" applyFont="1" applyFill="1" applyBorder="1" applyAlignment="1" applyProtection="1"/>
    <xf numFmtId="4" fontId="16" fillId="0" borderId="0" xfId="0" applyNumberFormat="1" applyFont="1" applyFill="1"/>
    <xf numFmtId="9" fontId="4" fillId="0" borderId="44" xfId="2" applyFont="1" applyFill="1" applyBorder="1" applyAlignment="1" applyProtection="1"/>
    <xf numFmtId="3" fontId="0" fillId="0" borderId="0" xfId="0" applyNumberFormat="1"/>
    <xf numFmtId="3" fontId="16" fillId="0" borderId="10" xfId="0" applyNumberFormat="1" applyFont="1" applyBorder="1" applyAlignment="1">
      <alignment horizontal="right"/>
    </xf>
    <xf numFmtId="0" fontId="24" fillId="0" borderId="22" xfId="0" applyNumberFormat="1" applyFont="1" applyFill="1" applyBorder="1" applyAlignment="1" applyProtection="1"/>
    <xf numFmtId="0" fontId="24" fillId="0" borderId="13" xfId="0" applyNumberFormat="1" applyFont="1" applyFill="1" applyBorder="1" applyAlignment="1" applyProtection="1"/>
    <xf numFmtId="0" fontId="24" fillId="0" borderId="0" xfId="0" applyFont="1"/>
    <xf numFmtId="0" fontId="4" fillId="0" borderId="22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/>
    <xf numFmtId="172" fontId="4" fillId="0" borderId="10" xfId="0" applyNumberFormat="1" applyFont="1" applyFill="1" applyBorder="1"/>
    <xf numFmtId="4" fontId="5" fillId="0" borderId="0" xfId="0" applyNumberFormat="1" applyFont="1" applyFill="1"/>
    <xf numFmtId="0" fontId="8" fillId="12" borderId="49" xfId="0" applyNumberFormat="1" applyFont="1" applyFill="1" applyBorder="1" applyAlignment="1" applyProtection="1">
      <alignment horizontal="center"/>
    </xf>
    <xf numFmtId="3" fontId="8" fillId="11" borderId="33" xfId="0" applyNumberFormat="1" applyFont="1" applyFill="1" applyBorder="1" applyAlignment="1" applyProtection="1"/>
    <xf numFmtId="3" fontId="8" fillId="11" borderId="52" xfId="0" applyNumberFormat="1" applyFont="1" applyFill="1" applyBorder="1" applyAlignment="1" applyProtection="1"/>
    <xf numFmtId="164" fontId="8" fillId="0" borderId="52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right"/>
    </xf>
    <xf numFmtId="172" fontId="5" fillId="0" borderId="0" xfId="0" applyNumberFormat="1" applyFont="1" applyFill="1"/>
    <xf numFmtId="4" fontId="4" fillId="0" borderId="50" xfId="0" applyNumberFormat="1" applyFont="1" applyFill="1" applyBorder="1" applyAlignment="1" applyProtection="1">
      <alignment horizontal="center"/>
    </xf>
    <xf numFmtId="3" fontId="5" fillId="4" borderId="15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8" fillId="0" borderId="14" xfId="0" applyNumberFormat="1" applyFont="1" applyFill="1" applyBorder="1" applyAlignment="1" applyProtection="1"/>
    <xf numFmtId="0" fontId="0" fillId="0" borderId="1" xfId="0" applyBorder="1"/>
    <xf numFmtId="0" fontId="6" fillId="0" borderId="3" xfId="0" applyFont="1" applyBorder="1"/>
    <xf numFmtId="0" fontId="0" fillId="0" borderId="9" xfId="0" applyBorder="1"/>
    <xf numFmtId="0" fontId="6" fillId="0" borderId="8" xfId="0" applyFont="1" applyBorder="1"/>
    <xf numFmtId="3" fontId="19" fillId="9" borderId="9" xfId="0" applyNumberFormat="1" applyFont="1" applyFill="1" applyBorder="1" applyAlignment="1" applyProtection="1">
      <alignment horizontal="left"/>
    </xf>
    <xf numFmtId="0" fontId="0" fillId="0" borderId="4" xfId="0" applyBorder="1"/>
    <xf numFmtId="0" fontId="6" fillId="0" borderId="6" xfId="0" applyFont="1" applyBorder="1"/>
    <xf numFmtId="172" fontId="4" fillId="0" borderId="12" xfId="0" applyNumberFormat="1" applyFont="1" applyFill="1" applyBorder="1" applyAlignment="1" applyProtection="1"/>
    <xf numFmtId="3" fontId="7" fillId="0" borderId="0" xfId="0" applyNumberFormat="1" applyFont="1" applyFill="1"/>
    <xf numFmtId="0" fontId="16" fillId="10" borderId="0" xfId="0" applyFont="1" applyFill="1"/>
    <xf numFmtId="0" fontId="5" fillId="0" borderId="10" xfId="0" applyNumberFormat="1" applyFont="1" applyFill="1" applyBorder="1" applyAlignment="1" applyProtection="1">
      <alignment horizontal="center"/>
    </xf>
    <xf numFmtId="3" fontId="5" fillId="13" borderId="9" xfId="0" applyNumberFormat="1" applyFont="1" applyFill="1" applyBorder="1" applyAlignment="1" applyProtection="1"/>
    <xf numFmtId="0" fontId="0" fillId="0" borderId="0" xfId="0"/>
    <xf numFmtId="3" fontId="5" fillId="0" borderId="7" xfId="0" applyNumberFormat="1" applyFont="1" applyBorder="1"/>
    <xf numFmtId="0" fontId="16" fillId="0" borderId="0" xfId="0" applyFont="1"/>
    <xf numFmtId="168" fontId="0" fillId="0" borderId="0" xfId="0" applyNumberFormat="1" applyFont="1" applyFill="1"/>
    <xf numFmtId="0" fontId="3" fillId="0" borderId="0" xfId="0" applyFont="1" applyFill="1"/>
    <xf numFmtId="0" fontId="5" fillId="11" borderId="0" xfId="0" applyNumberFormat="1" applyFont="1" applyFill="1" applyBorder="1" applyAlignment="1" applyProtection="1">
      <alignment horizontal="right"/>
    </xf>
    <xf numFmtId="167" fontId="5" fillId="0" borderId="0" xfId="0" applyNumberFormat="1" applyFont="1" applyFill="1" applyBorder="1" applyAlignment="1" applyProtection="1">
      <alignment horizontal="right"/>
    </xf>
    <xf numFmtId="168" fontId="4" fillId="0" borderId="50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/>
    <xf numFmtId="3" fontId="4" fillId="0" borderId="17" xfId="0" applyNumberFormat="1" applyFont="1" applyFill="1" applyBorder="1" applyAlignment="1" applyProtection="1">
      <alignment horizontal="center"/>
    </xf>
    <xf numFmtId="3" fontId="19" fillId="0" borderId="8" xfId="0" applyNumberFormat="1" applyFont="1" applyFill="1" applyBorder="1" applyAlignment="1" applyProtection="1">
      <alignment horizontal="left"/>
    </xf>
    <xf numFmtId="3" fontId="5" fillId="0" borderId="7" xfId="0" applyNumberFormat="1" applyFont="1" applyFill="1" applyBorder="1" applyAlignment="1" applyProtection="1">
      <alignment horizontal="right"/>
    </xf>
    <xf numFmtId="0" fontId="0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right"/>
    </xf>
    <xf numFmtId="0" fontId="0" fillId="0" borderId="0" xfId="0" applyFont="1"/>
    <xf numFmtId="3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27" fillId="0" borderId="0" xfId="0" applyFont="1"/>
    <xf numFmtId="0" fontId="5" fillId="0" borderId="35" xfId="0" applyFont="1" applyBorder="1"/>
    <xf numFmtId="0" fontId="5" fillId="0" borderId="21" xfId="0" applyFont="1" applyBorder="1"/>
    <xf numFmtId="0" fontId="5" fillId="0" borderId="47" xfId="0" applyFont="1" applyBorder="1"/>
    <xf numFmtId="3" fontId="26" fillId="0" borderId="9" xfId="0" applyNumberFormat="1" applyFont="1" applyFill="1" applyBorder="1" applyAlignment="1" applyProtection="1">
      <protection locked="0"/>
    </xf>
    <xf numFmtId="168" fontId="10" fillId="0" borderId="10" xfId="0" applyNumberFormat="1" applyFont="1" applyFill="1" applyBorder="1" applyAlignment="1" applyProtection="1">
      <alignment horizontal="right"/>
    </xf>
    <xf numFmtId="10" fontId="16" fillId="0" borderId="0" xfId="0" applyNumberFormat="1" applyFont="1"/>
    <xf numFmtId="167" fontId="16" fillId="0" borderId="0" xfId="0" applyNumberFormat="1" applyFont="1" applyFill="1"/>
    <xf numFmtId="175" fontId="5" fillId="0" borderId="10" xfId="0" applyNumberFormat="1" applyFont="1" applyFill="1" applyBorder="1" applyAlignment="1" applyProtection="1">
      <alignment horizontal="right"/>
    </xf>
    <xf numFmtId="2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Alignment="1" applyProtection="1">
      <alignment horizontal="right"/>
    </xf>
    <xf numFmtId="177" fontId="5" fillId="0" borderId="10" xfId="0" applyNumberFormat="1" applyFont="1" applyFill="1" applyBorder="1" applyAlignment="1" applyProtection="1">
      <alignment horizontal="right"/>
    </xf>
    <xf numFmtId="167" fontId="4" fillId="0" borderId="10" xfId="0" applyNumberFormat="1" applyFont="1" applyFill="1" applyBorder="1" applyAlignment="1" applyProtection="1">
      <alignment horizontal="right"/>
    </xf>
    <xf numFmtId="0" fontId="28" fillId="0" borderId="7" xfId="0" applyNumberFormat="1" applyFont="1" applyFill="1" applyBorder="1" applyAlignment="1" applyProtection="1">
      <alignment horizontal="right"/>
    </xf>
    <xf numFmtId="3" fontId="28" fillId="0" borderId="10" xfId="0" applyNumberFormat="1" applyFont="1" applyFill="1" applyBorder="1" applyAlignment="1" applyProtection="1">
      <alignment horizontal="right"/>
    </xf>
    <xf numFmtId="3" fontId="29" fillId="0" borderId="10" xfId="0" applyNumberFormat="1" applyFont="1" applyFill="1" applyBorder="1" applyAlignment="1" applyProtection="1">
      <alignment horizontal="right"/>
    </xf>
    <xf numFmtId="0" fontId="0" fillId="0" borderId="0" xfId="0"/>
    <xf numFmtId="3" fontId="4" fillId="0" borderId="7" xfId="0" applyNumberFormat="1" applyFont="1" applyBorder="1"/>
    <xf numFmtId="0" fontId="5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3" fontId="10" fillId="0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/>
    <xf numFmtId="0" fontId="16" fillId="0" borderId="0" xfId="0" applyFont="1"/>
    <xf numFmtId="0" fontId="16" fillId="0" borderId="10" xfId="0" applyNumberFormat="1" applyFont="1" applyFill="1" applyBorder="1" applyAlignment="1" applyProtection="1"/>
    <xf numFmtId="0" fontId="16" fillId="10" borderId="0" xfId="0" applyFont="1" applyFill="1"/>
    <xf numFmtId="168" fontId="10" fillId="0" borderId="7" xfId="0" applyNumberFormat="1" applyFont="1" applyFill="1" applyBorder="1" applyAlignment="1" applyProtection="1">
      <alignment horizontal="right"/>
    </xf>
    <xf numFmtId="3" fontId="3" fillId="0" borderId="0" xfId="0" applyNumberFormat="1" applyFont="1"/>
    <xf numFmtId="0" fontId="6" fillId="0" borderId="7" xfId="0" applyNumberFormat="1" applyFont="1" applyFill="1" applyBorder="1" applyAlignment="1" applyProtection="1"/>
    <xf numFmtId="0" fontId="8" fillId="12" borderId="1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center"/>
    </xf>
    <xf numFmtId="0" fontId="8" fillId="0" borderId="13" xfId="0" applyNumberFormat="1" applyFont="1" applyFill="1" applyBorder="1" applyAlignment="1" applyProtection="1">
      <alignment horizontal="center"/>
    </xf>
    <xf numFmtId="3" fontId="18" fillId="0" borderId="10" xfId="0" applyNumberFormat="1" applyFont="1" applyFill="1" applyBorder="1" applyAlignment="1" applyProtection="1">
      <alignment horizontal="right"/>
    </xf>
    <xf numFmtId="3" fontId="5" fillId="4" borderId="46" xfId="0" applyNumberFormat="1" applyFont="1" applyFill="1" applyBorder="1" applyAlignment="1" applyProtection="1"/>
    <xf numFmtId="3" fontId="5" fillId="0" borderId="5" xfId="0" applyNumberFormat="1" applyFont="1" applyBorder="1"/>
    <xf numFmtId="3" fontId="27" fillId="0" borderId="0" xfId="0" applyNumberFormat="1" applyFont="1"/>
    <xf numFmtId="0" fontId="30" fillId="0" borderId="0" xfId="0" applyFont="1"/>
    <xf numFmtId="4" fontId="27" fillId="0" borderId="0" xfId="0" applyNumberFormat="1" applyFont="1" applyFill="1" applyBorder="1" applyAlignment="1"/>
    <xf numFmtId="3" fontId="32" fillId="0" borderId="35" xfId="0" applyNumberFormat="1" applyFont="1" applyFill="1" applyBorder="1" applyAlignment="1" applyProtection="1">
      <alignment horizontal="center"/>
    </xf>
    <xf numFmtId="0" fontId="32" fillId="0" borderId="8" xfId="0" applyNumberFormat="1" applyFont="1" applyFill="1" applyBorder="1" applyAlignment="1" applyProtection="1">
      <alignment horizontal="center"/>
    </xf>
    <xf numFmtId="3" fontId="32" fillId="0" borderId="6" xfId="0" applyNumberFormat="1" applyFont="1" applyFill="1" applyBorder="1" applyAlignment="1" applyProtection="1">
      <alignment horizontal="center"/>
    </xf>
    <xf numFmtId="3" fontId="32" fillId="0" borderId="3" xfId="0" applyNumberFormat="1" applyFont="1" applyFill="1" applyBorder="1" applyAlignment="1" applyProtection="1"/>
    <xf numFmtId="3" fontId="27" fillId="0" borderId="8" xfId="0" applyNumberFormat="1" applyFont="1" applyFill="1" applyBorder="1" applyAlignment="1" applyProtection="1"/>
    <xf numFmtId="3" fontId="32" fillId="0" borderId="21" xfId="0" applyNumberFormat="1" applyFont="1" applyFill="1" applyBorder="1" applyAlignment="1" applyProtection="1"/>
    <xf numFmtId="3" fontId="27" fillId="0" borderId="23" xfId="0" applyNumberFormat="1" applyFont="1" applyFill="1" applyBorder="1" applyAlignment="1" applyProtection="1"/>
    <xf numFmtId="3" fontId="32" fillId="0" borderId="8" xfId="0" applyNumberFormat="1" applyFont="1" applyFill="1" applyBorder="1" applyAlignment="1" applyProtection="1"/>
    <xf numFmtId="0" fontId="27" fillId="0" borderId="8" xfId="0" applyNumberFormat="1" applyFont="1" applyFill="1" applyBorder="1" applyAlignment="1" applyProtection="1"/>
    <xf numFmtId="3" fontId="27" fillId="0" borderId="42" xfId="0" applyNumberFormat="1" applyFont="1" applyFill="1" applyBorder="1" applyAlignment="1" applyProtection="1"/>
    <xf numFmtId="0" fontId="27" fillId="0" borderId="0" xfId="0" applyFont="1" applyFill="1"/>
    <xf numFmtId="3" fontId="32" fillId="0" borderId="47" xfId="0" applyNumberFormat="1" applyFont="1" applyFill="1" applyBorder="1" applyAlignment="1" applyProtection="1"/>
    <xf numFmtId="3" fontId="27" fillId="0" borderId="0" xfId="0" applyNumberFormat="1" applyFont="1" applyFill="1" applyBorder="1" applyAlignment="1" applyProtection="1"/>
    <xf numFmtId="3" fontId="4" fillId="14" borderId="12" xfId="0" applyNumberFormat="1" applyFont="1" applyFill="1" applyBorder="1" applyAlignment="1" applyProtection="1">
      <alignment horizontal="right"/>
    </xf>
    <xf numFmtId="171" fontId="4" fillId="14" borderId="5" xfId="0" applyNumberFormat="1" applyFont="1" applyFill="1" applyBorder="1" applyAlignment="1" applyProtection="1">
      <alignment horizontal="center"/>
    </xf>
    <xf numFmtId="3" fontId="9" fillId="14" borderId="10" xfId="0" applyNumberFormat="1" applyFont="1" applyFill="1" applyBorder="1" applyAlignment="1" applyProtection="1">
      <alignment horizontal="right"/>
    </xf>
    <xf numFmtId="173" fontId="10" fillId="14" borderId="10" xfId="0" applyNumberFormat="1" applyFont="1" applyFill="1" applyBorder="1" applyAlignment="1" applyProtection="1">
      <alignment horizontal="right"/>
    </xf>
    <xf numFmtId="3" fontId="10" fillId="14" borderId="10" xfId="0" applyNumberFormat="1" applyFont="1" applyFill="1" applyBorder="1" applyAlignment="1" applyProtection="1">
      <alignment horizontal="right"/>
    </xf>
    <xf numFmtId="174" fontId="10" fillId="14" borderId="10" xfId="0" applyNumberFormat="1" applyFont="1" applyFill="1" applyBorder="1" applyAlignment="1" applyProtection="1">
      <alignment horizontal="right"/>
    </xf>
    <xf numFmtId="3" fontId="6" fillId="14" borderId="10" xfId="0" applyNumberFormat="1" applyFont="1" applyFill="1" applyBorder="1" applyAlignment="1" applyProtection="1">
      <alignment horizontal="right"/>
    </xf>
    <xf numFmtId="170" fontId="10" fillId="14" borderId="10" xfId="0" applyNumberFormat="1" applyFont="1" applyFill="1" applyBorder="1" applyAlignment="1" applyProtection="1">
      <alignment horizontal="right"/>
    </xf>
    <xf numFmtId="3" fontId="9" fillId="14" borderId="14" xfId="0" applyNumberFormat="1" applyFont="1" applyFill="1" applyBorder="1" applyAlignment="1" applyProtection="1">
      <alignment horizontal="right"/>
    </xf>
    <xf numFmtId="3" fontId="19" fillId="14" borderId="10" xfId="0" applyNumberFormat="1" applyFont="1" applyFill="1" applyBorder="1" applyAlignment="1" applyProtection="1">
      <alignment horizontal="right"/>
    </xf>
    <xf numFmtId="3" fontId="4" fillId="14" borderId="14" xfId="0" applyNumberFormat="1" applyFont="1" applyFill="1" applyBorder="1" applyAlignment="1" applyProtection="1">
      <alignment horizontal="right"/>
    </xf>
    <xf numFmtId="0" fontId="4" fillId="14" borderId="20" xfId="0" applyNumberFormat="1" applyFont="1" applyFill="1" applyBorder="1" applyAlignment="1" applyProtection="1">
      <alignment horizontal="center"/>
    </xf>
    <xf numFmtId="0" fontId="4" fillId="14" borderId="21" xfId="0" applyNumberFormat="1" applyFont="1" applyFill="1" applyBorder="1" applyAlignment="1" applyProtection="1">
      <alignment horizontal="center"/>
    </xf>
    <xf numFmtId="0" fontId="4" fillId="14" borderId="4" xfId="0" applyNumberFormat="1" applyFont="1" applyFill="1" applyBorder="1" applyAlignment="1" applyProtection="1">
      <alignment horizontal="center"/>
    </xf>
    <xf numFmtId="0" fontId="4" fillId="14" borderId="6" xfId="0" applyNumberFormat="1" applyFont="1" applyFill="1" applyBorder="1" applyAlignment="1" applyProtection="1">
      <alignment horizontal="center"/>
    </xf>
    <xf numFmtId="3" fontId="4" fillId="14" borderId="1" xfId="0" applyNumberFormat="1" applyFont="1" applyFill="1" applyBorder="1" applyAlignment="1" applyProtection="1"/>
    <xf numFmtId="3" fontId="4" fillId="14" borderId="3" xfId="0" applyNumberFormat="1" applyFont="1" applyFill="1" applyBorder="1" applyAlignment="1" applyProtection="1"/>
    <xf numFmtId="1" fontId="5" fillId="14" borderId="9" xfId="0" applyNumberFormat="1" applyFont="1" applyFill="1" applyBorder="1" applyAlignment="1" applyProtection="1"/>
    <xf numFmtId="0" fontId="5" fillId="14" borderId="8" xfId="0" applyNumberFormat="1" applyFont="1" applyFill="1" applyBorder="1" applyAlignment="1" applyProtection="1"/>
    <xf numFmtId="3" fontId="4" fillId="14" borderId="20" xfId="0" applyNumberFormat="1" applyFont="1" applyFill="1" applyBorder="1" applyAlignment="1" applyProtection="1"/>
    <xf numFmtId="3" fontId="4" fillId="14" borderId="21" xfId="0" applyNumberFormat="1" applyFont="1" applyFill="1" applyBorder="1" applyAlignment="1" applyProtection="1"/>
    <xf numFmtId="0" fontId="5" fillId="14" borderId="9" xfId="0" applyNumberFormat="1" applyFont="1" applyFill="1" applyBorder="1" applyAlignment="1" applyProtection="1"/>
    <xf numFmtId="0" fontId="24" fillId="14" borderId="22" xfId="0" applyNumberFormat="1" applyFont="1" applyFill="1" applyBorder="1" applyAlignment="1" applyProtection="1"/>
    <xf numFmtId="0" fontId="5" fillId="14" borderId="23" xfId="0" applyNumberFormat="1" applyFont="1" applyFill="1" applyBorder="1" applyAlignment="1" applyProtection="1"/>
    <xf numFmtId="3" fontId="4" fillId="14" borderId="9" xfId="0" applyNumberFormat="1" applyFont="1" applyFill="1" applyBorder="1" applyAlignment="1" applyProtection="1"/>
    <xf numFmtId="3" fontId="4" fillId="14" borderId="8" xfId="0" applyNumberFormat="1" applyFont="1" applyFill="1" applyBorder="1" applyAlignment="1" applyProtection="1"/>
    <xf numFmtId="1" fontId="5" fillId="14" borderId="22" xfId="0" applyNumberFormat="1" applyFont="1" applyFill="1" applyBorder="1" applyAlignment="1" applyProtection="1"/>
    <xf numFmtId="3" fontId="5" fillId="14" borderId="9" xfId="0" applyNumberFormat="1" applyFont="1" applyFill="1" applyBorder="1" applyAlignment="1" applyProtection="1"/>
    <xf numFmtId="3" fontId="5" fillId="14" borderId="8" xfId="0" applyNumberFormat="1" applyFont="1" applyFill="1" applyBorder="1" applyAlignment="1" applyProtection="1"/>
    <xf numFmtId="1" fontId="5" fillId="14" borderId="8" xfId="0" applyNumberFormat="1" applyFont="1" applyFill="1" applyBorder="1" applyAlignment="1" applyProtection="1"/>
    <xf numFmtId="3" fontId="5" fillId="14" borderId="22" xfId="0" applyNumberFormat="1" applyFont="1" applyFill="1" applyBorder="1" applyAlignment="1" applyProtection="1"/>
    <xf numFmtId="0" fontId="5" fillId="14" borderId="22" xfId="0" applyNumberFormat="1" applyFont="1" applyFill="1" applyBorder="1" applyAlignment="1" applyProtection="1"/>
    <xf numFmtId="3" fontId="6" fillId="14" borderId="9" xfId="0" applyNumberFormat="1" applyFont="1" applyFill="1" applyBorder="1" applyAlignment="1" applyProtection="1"/>
    <xf numFmtId="3" fontId="4" fillId="14" borderId="12" xfId="0" applyNumberFormat="1" applyFont="1" applyFill="1" applyBorder="1" applyAlignment="1" applyProtection="1"/>
    <xf numFmtId="3" fontId="4" fillId="14" borderId="31" xfId="0" applyNumberFormat="1" applyFont="1" applyFill="1" applyBorder="1" applyAlignment="1" applyProtection="1"/>
    <xf numFmtId="0" fontId="33" fillId="0" borderId="0" xfId="0" applyFont="1" applyBorder="1"/>
    <xf numFmtId="0" fontId="31" fillId="0" borderId="0" xfId="0" applyFont="1" applyBorder="1"/>
    <xf numFmtId="0" fontId="0" fillId="0" borderId="0" xfId="0" applyBorder="1"/>
    <xf numFmtId="0" fontId="7" fillId="0" borderId="0" xfId="0" applyFont="1" applyBorder="1"/>
    <xf numFmtId="3" fontId="0" fillId="0" borderId="0" xfId="0" applyNumberFormat="1" applyBorder="1"/>
    <xf numFmtId="3" fontId="7" fillId="0" borderId="0" xfId="0" applyNumberFormat="1" applyFont="1" applyBorder="1"/>
    <xf numFmtId="0" fontId="0" fillId="0" borderId="0" xfId="0" applyNumberFormat="1" applyFont="1" applyFill="1" applyBorder="1" applyAlignment="1" applyProtection="1"/>
    <xf numFmtId="3" fontId="0" fillId="0" borderId="0" xfId="0" applyNumberFormat="1" applyFont="1" applyBorder="1"/>
    <xf numFmtId="0" fontId="0" fillId="0" borderId="0" xfId="0" applyFill="1" applyBorder="1"/>
    <xf numFmtId="0" fontId="7" fillId="0" borderId="0" xfId="0" applyNumberFormat="1" applyFont="1" applyFill="1" applyBorder="1" applyAlignment="1" applyProtection="1"/>
    <xf numFmtId="0" fontId="35" fillId="0" borderId="0" xfId="0" applyFont="1" applyBorder="1" applyAlignment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0" fontId="27" fillId="0" borderId="46" xfId="0" applyFont="1" applyFill="1" applyBorder="1"/>
    <xf numFmtId="0" fontId="5" fillId="0" borderId="17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0" fontId="5" fillId="14" borderId="17" xfId="0" applyNumberFormat="1" applyFont="1" applyFill="1" applyBorder="1" applyAlignment="1" applyProtection="1"/>
    <xf numFmtId="0" fontId="5" fillId="14" borderId="49" xfId="0" applyNumberFormat="1" applyFont="1" applyFill="1" applyBorder="1" applyAlignment="1" applyProtection="1"/>
    <xf numFmtId="3" fontId="5" fillId="0" borderId="49" xfId="0" applyNumberFormat="1" applyFont="1" applyFill="1" applyBorder="1" applyAlignment="1" applyProtection="1"/>
    <xf numFmtId="3" fontId="27" fillId="0" borderId="6" xfId="0" applyNumberFormat="1" applyFont="1" applyFill="1" applyBorder="1" applyAlignment="1" applyProtection="1"/>
    <xf numFmtId="3" fontId="4" fillId="0" borderId="58" xfId="0" applyNumberFormat="1" applyFont="1" applyFill="1" applyBorder="1" applyAlignment="1" applyProtection="1"/>
    <xf numFmtId="3" fontId="4" fillId="0" borderId="59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0" fontId="4" fillId="0" borderId="21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4" fillId="0" borderId="23" xfId="0" applyNumberFormat="1" applyFont="1" applyFill="1" applyBorder="1" applyAlignment="1" applyProtection="1"/>
    <xf numFmtId="0" fontId="4" fillId="0" borderId="4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4" fontId="4" fillId="0" borderId="21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/>
    <xf numFmtId="3" fontId="4" fillId="14" borderId="22" xfId="0" applyNumberFormat="1" applyFont="1" applyFill="1" applyBorder="1" applyAlignment="1" applyProtection="1"/>
    <xf numFmtId="0" fontId="15" fillId="0" borderId="0" xfId="0" applyFont="1"/>
    <xf numFmtId="0" fontId="3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60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0" fillId="0" borderId="18" xfId="0" applyBorder="1"/>
    <xf numFmtId="0" fontId="0" fillId="0" borderId="6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62" xfId="0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0" fillId="3" borderId="63" xfId="0" applyFill="1" applyBorder="1"/>
    <xf numFmtId="3" fontId="0" fillId="11" borderId="64" xfId="0" applyNumberFormat="1" applyFill="1" applyBorder="1"/>
    <xf numFmtId="3" fontId="16" fillId="11" borderId="56" xfId="0" applyNumberFormat="1" applyFont="1" applyFill="1" applyBorder="1"/>
    <xf numFmtId="3" fontId="0" fillId="11" borderId="57" xfId="0" applyNumberFormat="1" applyFill="1" applyBorder="1"/>
    <xf numFmtId="3" fontId="0" fillId="2" borderId="63" xfId="0" applyNumberFormat="1" applyFill="1" applyBorder="1"/>
    <xf numFmtId="3" fontId="0" fillId="11" borderId="63" xfId="0" applyNumberFormat="1" applyFill="1" applyBorder="1"/>
    <xf numFmtId="3" fontId="6" fillId="11" borderId="63" xfId="0" applyNumberFormat="1" applyFont="1" applyFill="1" applyBorder="1"/>
    <xf numFmtId="9" fontId="6" fillId="11" borderId="63" xfId="2" applyFont="1" applyFill="1" applyBorder="1"/>
    <xf numFmtId="170" fontId="6" fillId="11" borderId="63" xfId="0" applyNumberFormat="1" applyFont="1" applyFill="1" applyBorder="1"/>
    <xf numFmtId="0" fontId="0" fillId="11" borderId="15" xfId="0" applyFill="1" applyBorder="1"/>
    <xf numFmtId="3" fontId="0" fillId="0" borderId="63" xfId="0" applyNumberFormat="1" applyFill="1" applyBorder="1"/>
    <xf numFmtId="3" fontId="0" fillId="11" borderId="48" xfId="0" applyNumberFormat="1" applyFill="1" applyBorder="1"/>
    <xf numFmtId="0" fontId="3" fillId="0" borderId="32" xfId="0" applyFont="1" applyBorder="1"/>
    <xf numFmtId="3" fontId="0" fillId="0" borderId="36" xfId="0" applyNumberFormat="1" applyBorder="1"/>
    <xf numFmtId="3" fontId="0" fillId="0" borderId="2" xfId="0" applyNumberFormat="1" applyBorder="1"/>
    <xf numFmtId="3" fontId="0" fillId="0" borderId="60" xfId="0" applyNumberFormat="1" applyBorder="1"/>
    <xf numFmtId="3" fontId="0" fillId="2" borderId="32" xfId="0" applyNumberFormat="1" applyFill="1" applyBorder="1"/>
    <xf numFmtId="3" fontId="0" fillId="0" borderId="32" xfId="0" applyNumberFormat="1" applyFill="1" applyBorder="1"/>
    <xf numFmtId="3" fontId="6" fillId="0" borderId="32" xfId="0" applyNumberFormat="1" applyFont="1" applyFill="1" applyBorder="1"/>
    <xf numFmtId="0" fontId="0" fillId="0" borderId="15" xfId="0" applyBorder="1"/>
    <xf numFmtId="0" fontId="3" fillId="0" borderId="15" xfId="0" applyFont="1" applyBorder="1"/>
    <xf numFmtId="3" fontId="36" fillId="0" borderId="39" xfId="0" applyNumberFormat="1" applyFont="1" applyBorder="1"/>
    <xf numFmtId="3" fontId="36" fillId="0" borderId="10" xfId="0" applyNumberFormat="1" applyFont="1" applyBorder="1"/>
    <xf numFmtId="3" fontId="36" fillId="0" borderId="46" xfId="0" applyNumberFormat="1" applyFont="1" applyBorder="1"/>
    <xf numFmtId="3" fontId="36" fillId="2" borderId="15" xfId="0" applyNumberFormat="1" applyFont="1" applyFill="1" applyBorder="1"/>
    <xf numFmtId="3" fontId="36" fillId="0" borderId="15" xfId="0" applyNumberFormat="1" applyFont="1" applyFill="1" applyBorder="1"/>
    <xf numFmtId="3" fontId="8" fillId="0" borderId="15" xfId="0" applyNumberFormat="1" applyFont="1" applyFill="1" applyBorder="1"/>
    <xf numFmtId="9" fontId="6" fillId="0" borderId="15" xfId="2" applyFont="1" applyFill="1" applyBorder="1"/>
    <xf numFmtId="170" fontId="8" fillId="0" borderId="15" xfId="0" applyNumberFormat="1" applyFont="1" applyFill="1" applyBorder="1"/>
    <xf numFmtId="3" fontId="0" fillId="0" borderId="38" xfId="0" applyNumberFormat="1" applyBorder="1"/>
    <xf numFmtId="3" fontId="0" fillId="0" borderId="5" xfId="0" applyNumberFormat="1" applyBorder="1"/>
    <xf numFmtId="3" fontId="0" fillId="0" borderId="45" xfId="0" applyNumberFormat="1" applyBorder="1"/>
    <xf numFmtId="3" fontId="0" fillId="2" borderId="18" xfId="0" applyNumberFormat="1" applyFill="1" applyBorder="1"/>
    <xf numFmtId="3" fontId="0" fillId="0" borderId="18" xfId="0" applyNumberFormat="1" applyFill="1" applyBorder="1"/>
    <xf numFmtId="3" fontId="37" fillId="0" borderId="8" xfId="0" applyNumberFormat="1" applyFont="1" applyFill="1" applyBorder="1" applyAlignment="1" applyProtection="1"/>
    <xf numFmtId="0" fontId="38" fillId="0" borderId="10" xfId="0" applyNumberFormat="1" applyFont="1" applyFill="1" applyBorder="1" applyAlignment="1" applyProtection="1"/>
    <xf numFmtId="0" fontId="39" fillId="0" borderId="10" xfId="0" applyNumberFormat="1" applyFont="1" applyFill="1" applyBorder="1" applyAlignment="1" applyProtection="1"/>
    <xf numFmtId="0" fontId="39" fillId="0" borderId="8" xfId="0" applyNumberFormat="1" applyFont="1" applyFill="1" applyBorder="1" applyAlignment="1" applyProtection="1"/>
    <xf numFmtId="49" fontId="39" fillId="0" borderId="10" xfId="0" applyNumberFormat="1" applyFont="1" applyFill="1" applyBorder="1" applyAlignment="1" applyProtection="1"/>
    <xf numFmtId="0" fontId="39" fillId="0" borderId="37" xfId="0" applyFont="1" applyFill="1" applyBorder="1"/>
    <xf numFmtId="167" fontId="16" fillId="0" borderId="0" xfId="0" applyNumberFormat="1" applyFont="1" applyFill="1" applyBorder="1" applyAlignment="1" applyProtection="1">
      <alignment horizontal="right"/>
    </xf>
    <xf numFmtId="167" fontId="4" fillId="0" borderId="12" xfId="0" applyNumberFormat="1" applyFont="1" applyFill="1" applyBorder="1" applyAlignment="1" applyProtection="1">
      <alignment horizontal="right"/>
    </xf>
    <xf numFmtId="167" fontId="4" fillId="0" borderId="5" xfId="0" applyNumberFormat="1" applyFont="1" applyFill="1" applyBorder="1" applyAlignment="1" applyProtection="1">
      <alignment horizontal="center"/>
    </xf>
    <xf numFmtId="167" fontId="16" fillId="0" borderId="0" xfId="0" applyNumberFormat="1" applyFont="1"/>
    <xf numFmtId="4" fontId="38" fillId="0" borderId="0" xfId="0" applyNumberFormat="1" applyFont="1" applyFill="1"/>
    <xf numFmtId="168" fontId="5" fillId="0" borderId="0" xfId="0" applyNumberFormat="1" applyFont="1" applyFill="1"/>
    <xf numFmtId="164" fontId="4" fillId="0" borderId="3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/>
    <xf numFmtId="164" fontId="4" fillId="0" borderId="21" xfId="0" applyNumberFormat="1" applyFont="1" applyFill="1" applyBorder="1" applyAlignment="1" applyProtection="1"/>
    <xf numFmtId="164" fontId="5" fillId="0" borderId="23" xfId="0" applyNumberFormat="1" applyFont="1" applyFill="1" applyBorder="1" applyAlignment="1" applyProtection="1"/>
    <xf numFmtId="164" fontId="4" fillId="0" borderId="8" xfId="0" applyNumberFormat="1" applyFont="1" applyFill="1" applyBorder="1" applyAlignment="1" applyProtection="1"/>
    <xf numFmtId="164" fontId="5" fillId="0" borderId="42" xfId="0" applyNumberFormat="1" applyFont="1" applyFill="1" applyBorder="1" applyAlignment="1" applyProtection="1"/>
    <xf numFmtId="164" fontId="4" fillId="0" borderId="47" xfId="0" applyNumberFormat="1" applyFont="1" applyFill="1" applyBorder="1" applyAlignment="1" applyProtection="1"/>
    <xf numFmtId="4" fontId="4" fillId="0" borderId="25" xfId="0" applyNumberFormat="1" applyFont="1" applyFill="1" applyBorder="1" applyAlignment="1" applyProtection="1"/>
    <xf numFmtId="4" fontId="6" fillId="0" borderId="7" xfId="0" applyNumberFormat="1" applyFont="1" applyFill="1" applyBorder="1" applyAlignment="1" applyProtection="1"/>
    <xf numFmtId="4" fontId="6" fillId="0" borderId="24" xfId="0" applyNumberFormat="1" applyFont="1" applyFill="1" applyBorder="1" applyAlignment="1" applyProtection="1"/>
    <xf numFmtId="4" fontId="4" fillId="0" borderId="7" xfId="0" applyNumberFormat="1" applyFont="1" applyFill="1" applyBorder="1" applyAlignment="1" applyProtection="1"/>
    <xf numFmtId="4" fontId="6" fillId="0" borderId="22" xfId="0" applyNumberFormat="1" applyFont="1" applyFill="1" applyBorder="1" applyAlignment="1" applyProtection="1"/>
    <xf numFmtId="4" fontId="5" fillId="0" borderId="7" xfId="0" applyNumberFormat="1" applyFont="1" applyFill="1" applyBorder="1" applyAlignment="1" applyProtection="1"/>
    <xf numFmtId="4" fontId="8" fillId="0" borderId="52" xfId="0" applyNumberFormat="1" applyFont="1" applyFill="1" applyBorder="1" applyAlignment="1" applyProtection="1"/>
    <xf numFmtId="4" fontId="8" fillId="12" borderId="52" xfId="0" applyNumberFormat="1" applyFont="1" applyFill="1" applyBorder="1" applyAlignment="1" applyProtection="1">
      <alignment horizontal="center"/>
    </xf>
    <xf numFmtId="4" fontId="8" fillId="0" borderId="17" xfId="0" applyNumberFormat="1" applyFont="1" applyFill="1" applyBorder="1" applyAlignment="1" applyProtection="1"/>
    <xf numFmtId="4" fontId="8" fillId="11" borderId="17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3" fontId="6" fillId="0" borderId="10" xfId="0" applyNumberFormat="1" applyFont="1" applyFill="1" applyBorder="1" applyAlignment="1" applyProtection="1"/>
    <xf numFmtId="3" fontId="6" fillId="0" borderId="8" xfId="0" applyNumberFormat="1" applyFont="1" applyFill="1" applyBorder="1" applyAlignment="1" applyProtection="1"/>
    <xf numFmtId="3" fontId="6" fillId="14" borderId="8" xfId="0" applyNumberFormat="1" applyFont="1" applyFill="1" applyBorder="1" applyAlignment="1" applyProtection="1"/>
    <xf numFmtId="166" fontId="16" fillId="0" borderId="0" xfId="0" applyNumberFormat="1" applyFont="1" applyFill="1"/>
    <xf numFmtId="177" fontId="40" fillId="0" borderId="0" xfId="0" applyNumberFormat="1" applyFont="1"/>
    <xf numFmtId="4" fontId="42" fillId="0" borderId="0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>
      <alignment horizontal="right"/>
    </xf>
    <xf numFmtId="49" fontId="5" fillId="0" borderId="10" xfId="0" applyNumberFormat="1" applyFont="1" applyFill="1" applyBorder="1" applyAlignment="1" applyProtection="1">
      <alignment horizontal="left"/>
    </xf>
    <xf numFmtId="0" fontId="10" fillId="3" borderId="13" xfId="0" applyNumberFormat="1" applyFont="1" applyFill="1" applyBorder="1" applyAlignment="1" applyProtection="1"/>
    <xf numFmtId="0" fontId="40" fillId="0" borderId="0" xfId="0" applyFont="1" applyFill="1"/>
    <xf numFmtId="167" fontId="40" fillId="0" borderId="0" xfId="0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64" fontId="4" fillId="0" borderId="49" xfId="0" applyNumberFormat="1" applyFont="1" applyFill="1" applyBorder="1" applyAlignment="1" applyProtection="1">
      <alignment horizontal="center"/>
    </xf>
    <xf numFmtId="178" fontId="5" fillId="0" borderId="8" xfId="0" applyNumberFormat="1" applyFont="1" applyBorder="1" applyAlignment="1">
      <alignment horizontal="center"/>
    </xf>
    <xf numFmtId="4" fontId="4" fillId="0" borderId="3" xfId="0" applyNumberFormat="1" applyFont="1" applyFill="1" applyBorder="1" applyAlignment="1" applyProtection="1"/>
    <xf numFmtId="4" fontId="5" fillId="0" borderId="8" xfId="0" applyNumberFormat="1" applyFont="1" applyFill="1" applyBorder="1" applyAlignment="1" applyProtection="1"/>
    <xf numFmtId="4" fontId="4" fillId="0" borderId="21" xfId="0" applyNumberFormat="1" applyFont="1" applyFill="1" applyBorder="1" applyAlignment="1" applyProtection="1"/>
    <xf numFmtId="4" fontId="5" fillId="0" borderId="23" xfId="0" applyNumberFormat="1" applyFont="1" applyFill="1" applyBorder="1" applyAlignment="1" applyProtection="1"/>
    <xf numFmtId="4" fontId="4" fillId="0" borderId="8" xfId="0" applyNumberFormat="1" applyFont="1" applyFill="1" applyBorder="1" applyAlignment="1" applyProtection="1"/>
    <xf numFmtId="4" fontId="5" fillId="0" borderId="42" xfId="0" applyNumberFormat="1" applyFont="1" applyFill="1" applyBorder="1" applyAlignment="1" applyProtection="1"/>
    <xf numFmtId="4" fontId="4" fillId="0" borderId="47" xfId="0" applyNumberFormat="1" applyFont="1" applyFill="1" applyBorder="1" applyAlignment="1" applyProtection="1"/>
    <xf numFmtId="0" fontId="4" fillId="14" borderId="54" xfId="0" applyNumberFormat="1" applyFont="1" applyFill="1" applyBorder="1" applyAlignment="1" applyProtection="1">
      <alignment horizontal="center"/>
    </xf>
    <xf numFmtId="0" fontId="0" fillId="14" borderId="55" xfId="0" applyFill="1" applyBorder="1" applyAlignment="1">
      <alignment horizontal="center"/>
    </xf>
    <xf numFmtId="0" fontId="4" fillId="0" borderId="54" xfId="0" applyNumberFormat="1" applyFont="1" applyFill="1" applyBorder="1" applyAlignment="1" applyProtection="1">
      <alignment horizontal="center"/>
    </xf>
    <xf numFmtId="0" fontId="0" fillId="0" borderId="55" xfId="0" applyFill="1" applyBorder="1" applyAlignment="1">
      <alignment horizontal="center"/>
    </xf>
    <xf numFmtId="3" fontId="4" fillId="0" borderId="65" xfId="0" applyNumberFormat="1" applyFont="1" applyFill="1" applyBorder="1" applyAlignment="1" applyProtection="1"/>
    <xf numFmtId="3" fontId="5" fillId="0" borderId="37" xfId="0" applyNumberFormat="1" applyFont="1" applyFill="1" applyBorder="1" applyAlignment="1" applyProtection="1"/>
    <xf numFmtId="3" fontId="32" fillId="0" borderId="43" xfId="0" applyNumberFormat="1" applyFont="1" applyFill="1" applyBorder="1" applyAlignment="1" applyProtection="1"/>
    <xf numFmtId="3" fontId="27" fillId="0" borderId="46" xfId="0" applyNumberFormat="1" applyFont="1" applyFill="1" applyBorder="1" applyAlignment="1" applyProtection="1"/>
  </cellXfs>
  <cellStyles count="4">
    <cellStyle name="Normální" xfId="0" builtinId="0"/>
    <cellStyle name="Normální 2" xfId="1"/>
    <cellStyle name="Normální 3" xfId="3"/>
    <cellStyle name="Procenta" xfId="2" builtinId="5"/>
  </cellStyles>
  <dxfs count="3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 CE"/>
        <scheme val="none"/>
      </font>
    </dxf>
  </dxfs>
  <tableStyles count="0" defaultTableStyle="TableStyleMedium2" defaultPivotStyle="PivotStyleLight16"/>
  <colors>
    <mruColors>
      <color rgb="FFFFFF99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2:C31" totalsRowShown="0" headerRowDxfId="2">
  <tableColumns count="3">
    <tableColumn id="1" name=":)"/>
    <tableColumn id="2" name="Závazné ukazatele rozpočtu na rok 2022 " dataDxfId="1"/>
    <tableColumn id="3" name="v tis. Kč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L66"/>
  <sheetViews>
    <sheetView tabSelected="1" zoomScaleNormal="100" workbookViewId="0"/>
  </sheetViews>
  <sheetFormatPr defaultColWidth="7.85546875" defaultRowHeight="12.75" x14ac:dyDescent="0.2"/>
  <cols>
    <col min="1" max="1" width="7.42578125" style="94" customWidth="1"/>
    <col min="2" max="2" width="32.85546875" style="94" customWidth="1"/>
    <col min="3" max="3" width="10.28515625" style="101" customWidth="1"/>
    <col min="4" max="4" width="9.42578125" style="94" customWidth="1"/>
    <col min="5" max="5" width="12.140625" style="109" bestFit="1" customWidth="1"/>
    <col min="6" max="6" width="7.7109375" style="94" customWidth="1"/>
    <col min="7" max="7" width="12.42578125" style="94" hidden="1" customWidth="1"/>
    <col min="8" max="8" width="11.42578125" style="94" hidden="1" customWidth="1"/>
    <col min="9" max="9" width="11.28515625" style="94" bestFit="1" customWidth="1"/>
    <col min="10" max="10" width="13" style="94" customWidth="1"/>
    <col min="11" max="11" width="11.28515625" style="94" customWidth="1"/>
    <col min="12" max="16384" width="7.85546875" style="94"/>
  </cols>
  <sheetData>
    <row r="1" spans="1:12" s="366" customFormat="1" x14ac:dyDescent="0.2">
      <c r="C1" s="101"/>
      <c r="E1" s="109"/>
    </row>
    <row r="2" spans="1:12" s="1" customFormat="1" ht="18" x14ac:dyDescent="0.25">
      <c r="B2" s="103" t="s">
        <v>557</v>
      </c>
      <c r="C2" s="2"/>
      <c r="E2" s="153"/>
    </row>
    <row r="3" spans="1:12" s="1" customFormat="1" ht="15.75" x14ac:dyDescent="0.25">
      <c r="B3" s="330" t="s">
        <v>532</v>
      </c>
      <c r="C3" s="143"/>
      <c r="D3" s="143"/>
      <c r="E3" s="154"/>
      <c r="F3" s="143"/>
      <c r="G3" s="143"/>
      <c r="H3" s="143"/>
      <c r="I3" s="143"/>
      <c r="J3" s="143"/>
    </row>
    <row r="4" spans="1:12" s="1" customFormat="1" ht="15.75" x14ac:dyDescent="0.25">
      <c r="B4" s="330" t="s">
        <v>561</v>
      </c>
      <c r="C4" s="143"/>
      <c r="D4" s="143"/>
      <c r="E4" s="154"/>
      <c r="F4" s="143"/>
      <c r="G4" s="143"/>
      <c r="H4" s="143"/>
      <c r="I4" s="143"/>
      <c r="J4" s="143"/>
    </row>
    <row r="5" spans="1:12" s="1" customFormat="1" ht="15.75" x14ac:dyDescent="0.25">
      <c r="B5" s="330" t="s">
        <v>562</v>
      </c>
      <c r="C5" s="143"/>
      <c r="D5" s="143"/>
      <c r="E5" s="154"/>
      <c r="F5" s="143"/>
      <c r="G5" s="143"/>
      <c r="H5" s="143"/>
      <c r="I5" s="143"/>
      <c r="J5" s="143"/>
    </row>
    <row r="6" spans="1:12" s="1" customFormat="1" ht="15.75" x14ac:dyDescent="0.25">
      <c r="B6" s="330" t="s">
        <v>563</v>
      </c>
      <c r="C6" s="2"/>
      <c r="E6" s="154"/>
      <c r="F6" s="143"/>
      <c r="G6" s="143"/>
      <c r="H6" s="143"/>
      <c r="I6" s="143"/>
      <c r="J6" s="143"/>
    </row>
    <row r="7" spans="1:12" s="1" customFormat="1" ht="15.75" x14ac:dyDescent="0.25">
      <c r="B7" s="330"/>
      <c r="C7" s="2"/>
      <c r="E7" s="154"/>
      <c r="F7" s="143"/>
      <c r="G7" s="143"/>
      <c r="H7" s="143"/>
      <c r="I7" s="143"/>
      <c r="J7" s="143"/>
    </row>
    <row r="8" spans="1:12" ht="13.5" thickBot="1" x14ac:dyDescent="0.25">
      <c r="B8" s="3" t="s">
        <v>495</v>
      </c>
    </row>
    <row r="9" spans="1:12" s="3" customFormat="1" x14ac:dyDescent="0.2">
      <c r="A9" s="162"/>
      <c r="B9" s="4"/>
      <c r="C9" s="5" t="s">
        <v>2</v>
      </c>
      <c r="D9" s="142" t="s">
        <v>152</v>
      </c>
      <c r="E9" s="155" t="s">
        <v>118</v>
      </c>
      <c r="F9" s="6" t="s">
        <v>4</v>
      </c>
      <c r="G9" s="79" t="s">
        <v>5</v>
      </c>
      <c r="H9" s="6" t="s">
        <v>4</v>
      </c>
      <c r="I9" s="79" t="s">
        <v>5</v>
      </c>
      <c r="J9" s="6" t="s">
        <v>4</v>
      </c>
    </row>
    <row r="10" spans="1:12" s="3" customFormat="1" ht="13.5" thickBot="1" x14ac:dyDescent="0.25">
      <c r="A10" s="163"/>
      <c r="B10" s="7"/>
      <c r="C10" s="8">
        <v>2022</v>
      </c>
      <c r="D10" s="8">
        <v>2022</v>
      </c>
      <c r="E10" s="156" t="s">
        <v>113</v>
      </c>
      <c r="F10" s="82"/>
      <c r="G10" s="80" t="s">
        <v>526</v>
      </c>
      <c r="H10" s="9" t="s">
        <v>6</v>
      </c>
      <c r="I10" s="80" t="s">
        <v>527</v>
      </c>
      <c r="J10" s="9" t="s">
        <v>554</v>
      </c>
    </row>
    <row r="11" spans="1:12" x14ac:dyDescent="0.2">
      <c r="A11" s="164"/>
      <c r="B11" s="100" t="s">
        <v>7</v>
      </c>
      <c r="C11" s="10">
        <f>příjmy!F156</f>
        <v>103445</v>
      </c>
      <c r="D11" s="16">
        <f>+příjmy!G156</f>
        <v>196</v>
      </c>
      <c r="E11" s="327">
        <f>SUM(C11:D11)</f>
        <v>103641</v>
      </c>
      <c r="F11" s="83">
        <f>C11/C15</f>
        <v>0.55501604232168344</v>
      </c>
      <c r="G11" s="10">
        <f>+příjmy!I156</f>
        <v>32785.465900000003</v>
      </c>
      <c r="H11" s="11">
        <f>G11/$E11*100</f>
        <v>31.63368348433535</v>
      </c>
      <c r="I11" s="10">
        <f>+příjmy!K156</f>
        <v>62314.661700000004</v>
      </c>
      <c r="J11" s="11">
        <f>I11/$E11*100</f>
        <v>60.125492517440016</v>
      </c>
      <c r="L11" s="109"/>
    </row>
    <row r="12" spans="1:12" x14ac:dyDescent="0.2">
      <c r="A12" s="164"/>
      <c r="B12" s="100" t="s">
        <v>8</v>
      </c>
      <c r="C12" s="10">
        <f>příjmy!F157</f>
        <v>31040</v>
      </c>
      <c r="D12" s="16">
        <f>+příjmy!G157</f>
        <v>0</v>
      </c>
      <c r="E12" s="327">
        <f>SUM(C12:D12)</f>
        <v>31040</v>
      </c>
      <c r="F12" s="83">
        <f>C12/C15</f>
        <v>0.16653968730886029</v>
      </c>
      <c r="G12" s="10">
        <f>+příjmy!I157</f>
        <v>7779.3105299999997</v>
      </c>
      <c r="H12" s="11">
        <f t="shared" ref="H12:H17" si="0">G12/$E12*100</f>
        <v>25.06221175902062</v>
      </c>
      <c r="I12" s="10">
        <f>+příjmy!K157</f>
        <v>14282.142669999999</v>
      </c>
      <c r="J12" s="11">
        <f t="shared" ref="J12:J17" si="1">I12/$E12*100</f>
        <v>46.012057570876287</v>
      </c>
      <c r="L12" s="109"/>
    </row>
    <row r="13" spans="1:12" x14ac:dyDescent="0.2">
      <c r="A13" s="164"/>
      <c r="B13" s="100" t="s">
        <v>9</v>
      </c>
      <c r="C13" s="10">
        <f>příjmy!F160</f>
        <v>18097</v>
      </c>
      <c r="D13" s="16">
        <f>+příjmy!G160</f>
        <v>150</v>
      </c>
      <c r="E13" s="327">
        <f>SUM(C13:D13)</f>
        <v>18247</v>
      </c>
      <c r="F13" s="83">
        <f>C13/C15</f>
        <v>9.7096286122050415E-2</v>
      </c>
      <c r="G13" s="10">
        <f>+příjmy!I160</f>
        <v>8200</v>
      </c>
      <c r="H13" s="11">
        <f t="shared" si="0"/>
        <v>44.93889406477777</v>
      </c>
      <c r="I13" s="10">
        <f>+příjmy!K160</f>
        <v>8200</v>
      </c>
      <c r="J13" s="11">
        <f t="shared" si="1"/>
        <v>44.93889406477777</v>
      </c>
      <c r="L13" s="109"/>
    </row>
    <row r="14" spans="1:12" x14ac:dyDescent="0.2">
      <c r="A14" s="164"/>
      <c r="B14" s="100" t="s">
        <v>10</v>
      </c>
      <c r="C14" s="10">
        <f>příjmy!F158+příjmy!F161</f>
        <v>33800</v>
      </c>
      <c r="D14" s="16">
        <f>+příjmy!G158+příjmy!G161</f>
        <v>8324.4621900000002</v>
      </c>
      <c r="E14" s="327">
        <f>SUM(C14:D14)</f>
        <v>42124.462189999998</v>
      </c>
      <c r="F14" s="83">
        <f>C14/C15</f>
        <v>0.18134798424740586</v>
      </c>
      <c r="G14" s="10">
        <f>+příjmy!I158+příjmy!I161</f>
        <v>8173.459499999999</v>
      </c>
      <c r="H14" s="11">
        <f t="shared" si="0"/>
        <v>19.403118936294245</v>
      </c>
      <c r="I14" s="10">
        <f>+příjmy!K158+příjmy!K161</f>
        <v>28998.472689999999</v>
      </c>
      <c r="J14" s="11">
        <f t="shared" si="1"/>
        <v>68.839983188874982</v>
      </c>
      <c r="L14" s="109"/>
    </row>
    <row r="15" spans="1:12" s="3" customFormat="1" x14ac:dyDescent="0.2">
      <c r="A15" s="165"/>
      <c r="B15" s="12" t="s">
        <v>11</v>
      </c>
      <c r="C15" s="13">
        <f>SUM(C11:C14)</f>
        <v>186382</v>
      </c>
      <c r="D15" s="91">
        <f>SUM(D11:D14)</f>
        <v>8670.4621900000002</v>
      </c>
      <c r="E15" s="361">
        <f>SUM(E11:E14)</f>
        <v>195052.46218999999</v>
      </c>
      <c r="F15" s="84">
        <f>SUM(F11:F14)</f>
        <v>1</v>
      </c>
      <c r="G15" s="13">
        <f>SUM(G11:G14)</f>
        <v>56938.235930000003</v>
      </c>
      <c r="H15" s="14">
        <f>G15/$E15*100</f>
        <v>29.191241828332647</v>
      </c>
      <c r="I15" s="13">
        <f>SUM(I11:I14)</f>
        <v>113795.27705999999</v>
      </c>
      <c r="J15" s="14">
        <f>I15/$E15*100</f>
        <v>58.340856496931771</v>
      </c>
      <c r="L15" s="109"/>
    </row>
    <row r="16" spans="1:12" x14ac:dyDescent="0.2">
      <c r="A16" s="164"/>
      <c r="B16" s="100" t="s">
        <v>12</v>
      </c>
      <c r="C16" s="10">
        <f>+výdaje!E122</f>
        <v>174769</v>
      </c>
      <c r="D16" s="16">
        <f>+výdaje!H122</f>
        <v>-510.53781000000083</v>
      </c>
      <c r="E16" s="327">
        <f>SUM(C16:D16)</f>
        <v>174258.46218999999</v>
      </c>
      <c r="F16" s="83">
        <f>C16/C18</f>
        <v>0.80503466224463949</v>
      </c>
      <c r="G16" s="10">
        <f>+výdaje!M122</f>
        <v>39669.549010000002</v>
      </c>
      <c r="H16" s="11">
        <f t="shared" si="0"/>
        <v>22.764776247564338</v>
      </c>
      <c r="I16" s="10">
        <f>+výdaje!Q122</f>
        <v>80484.105609999999</v>
      </c>
      <c r="J16" s="11">
        <f t="shared" si="1"/>
        <v>46.186626806246814</v>
      </c>
      <c r="L16" s="109"/>
    </row>
    <row r="17" spans="1:12" x14ac:dyDescent="0.2">
      <c r="A17" s="164"/>
      <c r="B17" s="100" t="s">
        <v>13</v>
      </c>
      <c r="C17" s="10">
        <f>+výdaje!F122</f>
        <v>42326</v>
      </c>
      <c r="D17" s="16">
        <f>+výdaje!I122</f>
        <v>9181</v>
      </c>
      <c r="E17" s="327">
        <f>SUM(C17:D17)</f>
        <v>51507</v>
      </c>
      <c r="F17" s="83">
        <f>C17/C18</f>
        <v>0.19496533775536057</v>
      </c>
      <c r="G17" s="10">
        <f>+výdaje!N122</f>
        <v>1782.65769</v>
      </c>
      <c r="H17" s="11">
        <f t="shared" si="0"/>
        <v>3.4610008154231466</v>
      </c>
      <c r="I17" s="10">
        <f>+výdaje!R122</f>
        <v>9698.7398600000015</v>
      </c>
      <c r="J17" s="11">
        <f t="shared" si="1"/>
        <v>18.829945172500828</v>
      </c>
      <c r="L17" s="109"/>
    </row>
    <row r="18" spans="1:12" s="3" customFormat="1" x14ac:dyDescent="0.2">
      <c r="A18" s="165"/>
      <c r="B18" s="12" t="s">
        <v>14</v>
      </c>
      <c r="C18" s="13">
        <f>SUM(C16:C17)</f>
        <v>217095</v>
      </c>
      <c r="D18" s="365">
        <f>SUM(D16:D17)</f>
        <v>8670.4621899999984</v>
      </c>
      <c r="E18" s="361">
        <f>SUM(E16:E17)</f>
        <v>225765.46218999999</v>
      </c>
      <c r="F18" s="84">
        <v>1</v>
      </c>
      <c r="G18" s="13">
        <f>SUM(G16:G17)</f>
        <v>41452.206700000002</v>
      </c>
      <c r="H18" s="14">
        <f>G18/$E18*100</f>
        <v>18.360738749806913</v>
      </c>
      <c r="I18" s="361">
        <f>SUM(I16:I17)</f>
        <v>90182.84547</v>
      </c>
      <c r="J18" s="14">
        <f>I18/$E18*100</f>
        <v>39.945368346068719</v>
      </c>
      <c r="L18" s="109"/>
    </row>
    <row r="19" spans="1:12" x14ac:dyDescent="0.2">
      <c r="A19" s="164"/>
      <c r="B19" s="100"/>
      <c r="C19" s="10"/>
      <c r="D19" s="92"/>
      <c r="E19" s="327"/>
      <c r="F19" s="85"/>
      <c r="G19" s="10"/>
      <c r="H19" s="14"/>
      <c r="I19" s="10"/>
      <c r="J19" s="14"/>
    </row>
    <row r="20" spans="1:12" s="3" customFormat="1" x14ac:dyDescent="0.2">
      <c r="A20" s="165"/>
      <c r="B20" s="12" t="s">
        <v>15</v>
      </c>
      <c r="C20" s="13">
        <f>C15-C18</f>
        <v>-30713</v>
      </c>
      <c r="D20" s="361">
        <f>D15-D18</f>
        <v>0</v>
      </c>
      <c r="E20" s="361">
        <f>E15-E18</f>
        <v>-30713</v>
      </c>
      <c r="F20" s="86"/>
      <c r="G20" s="13">
        <f>G15-G18</f>
        <v>15486.02923</v>
      </c>
      <c r="H20" s="14"/>
      <c r="I20" s="361">
        <f>I15-I18</f>
        <v>23612.431589999993</v>
      </c>
      <c r="J20" s="11"/>
      <c r="L20" s="370"/>
    </row>
    <row r="21" spans="1:12" x14ac:dyDescent="0.2">
      <c r="A21" s="164"/>
      <c r="B21" s="100"/>
      <c r="C21" s="10"/>
      <c r="D21" s="92"/>
      <c r="E21" s="327"/>
      <c r="F21" s="85"/>
      <c r="G21" s="10"/>
      <c r="H21" s="14"/>
      <c r="I21" s="10"/>
      <c r="J21" s="14"/>
    </row>
    <row r="22" spans="1:12" s="3" customFormat="1" x14ac:dyDescent="0.2">
      <c r="A22" s="166" t="s">
        <v>16</v>
      </c>
      <c r="B22" s="12" t="s">
        <v>17</v>
      </c>
      <c r="C22" s="13"/>
      <c r="D22" s="93"/>
      <c r="E22" s="361"/>
      <c r="F22" s="86"/>
      <c r="G22" s="13"/>
      <c r="H22" s="14"/>
      <c r="I22" s="13"/>
      <c r="J22" s="14"/>
    </row>
    <row r="23" spans="1:12" x14ac:dyDescent="0.2">
      <c r="A23" s="164">
        <v>8124</v>
      </c>
      <c r="B23" s="100" t="s">
        <v>329</v>
      </c>
      <c r="C23" s="140">
        <f>-2291-2000</f>
        <v>-4291</v>
      </c>
      <c r="D23" s="141"/>
      <c r="E23" s="327">
        <f>SUM(C23:D23)</f>
        <v>-4291</v>
      </c>
      <c r="F23" s="85"/>
      <c r="G23" s="10">
        <v>-2569.33</v>
      </c>
      <c r="H23" s="11">
        <f>G23/$E23*100</f>
        <v>59.877184805406657</v>
      </c>
      <c r="I23" s="10">
        <v>-3123.0349999999999</v>
      </c>
      <c r="J23" s="11">
        <f>I23/$E23*100</f>
        <v>72.781053367513394</v>
      </c>
      <c r="L23" s="109"/>
    </row>
    <row r="24" spans="1:12" x14ac:dyDescent="0.2">
      <c r="A24" s="167"/>
      <c r="B24" s="100"/>
      <c r="C24" s="140"/>
      <c r="D24" s="16"/>
      <c r="E24" s="327"/>
      <c r="F24" s="85"/>
      <c r="G24" s="10"/>
      <c r="H24" s="11"/>
      <c r="I24" s="10"/>
      <c r="J24" s="11"/>
    </row>
    <row r="25" spans="1:12" x14ac:dyDescent="0.2">
      <c r="A25" s="164">
        <v>8123</v>
      </c>
      <c r="B25" s="100" t="s">
        <v>344</v>
      </c>
      <c r="C25" s="16">
        <v>0</v>
      </c>
      <c r="D25" s="16"/>
      <c r="E25" s="327">
        <f>SUM(C25:D25)</f>
        <v>0</v>
      </c>
      <c r="F25" s="85"/>
      <c r="G25" s="16"/>
      <c r="H25" s="11"/>
      <c r="I25" s="16"/>
      <c r="J25" s="11"/>
    </row>
    <row r="26" spans="1:12" x14ac:dyDescent="0.2">
      <c r="A26" s="164">
        <v>8115</v>
      </c>
      <c r="B26" s="100" t="s">
        <v>375</v>
      </c>
      <c r="C26" s="17">
        <v>0</v>
      </c>
      <c r="D26" s="16"/>
      <c r="E26" s="327">
        <f t="shared" ref="E26:E27" si="2">SUM(C26:D26)</f>
        <v>0</v>
      </c>
      <c r="F26" s="85"/>
      <c r="G26" s="17"/>
      <c r="H26" s="11"/>
      <c r="I26" s="17"/>
      <c r="J26" s="11"/>
    </row>
    <row r="27" spans="1:12" s="328" customFormat="1" hidden="1" x14ac:dyDescent="0.2">
      <c r="A27" s="164">
        <v>8115</v>
      </c>
      <c r="B27" s="100" t="s">
        <v>399</v>
      </c>
      <c r="C27" s="17">
        <v>0</v>
      </c>
      <c r="D27" s="16"/>
      <c r="E27" s="327">
        <f t="shared" si="2"/>
        <v>0</v>
      </c>
      <c r="F27" s="85"/>
      <c r="G27" s="17">
        <v>0</v>
      </c>
      <c r="H27" s="11"/>
      <c r="I27" s="17">
        <v>0</v>
      </c>
      <c r="J27" s="560"/>
    </row>
    <row r="28" spans="1:12" x14ac:dyDescent="0.2">
      <c r="A28" s="164">
        <v>8115</v>
      </c>
      <c r="B28" s="100" t="s">
        <v>531</v>
      </c>
      <c r="C28" s="140">
        <f>-C20-C23</f>
        <v>35004</v>
      </c>
      <c r="D28" s="16"/>
      <c r="E28" s="327">
        <f>SUM(C28:D28)</f>
        <v>35004</v>
      </c>
      <c r="F28" s="85"/>
      <c r="G28" s="10">
        <f>E28/4</f>
        <v>8751</v>
      </c>
      <c r="H28" s="11">
        <f>G28/$E28*100</f>
        <v>25</v>
      </c>
      <c r="I28" s="140">
        <f>E28/2</f>
        <v>17502</v>
      </c>
      <c r="J28" s="11">
        <f t="shared" ref="J28" si="3">I28/$E28*100</f>
        <v>50</v>
      </c>
    </row>
    <row r="29" spans="1:12" x14ac:dyDescent="0.2">
      <c r="A29" s="164"/>
      <c r="B29" s="100"/>
      <c r="C29" s="10"/>
      <c r="D29" s="141"/>
      <c r="E29" s="173"/>
      <c r="F29" s="85"/>
      <c r="G29" s="10"/>
      <c r="H29" s="14"/>
      <c r="I29" s="10"/>
      <c r="J29" s="14"/>
    </row>
    <row r="30" spans="1:12" x14ac:dyDescent="0.2">
      <c r="A30" s="164"/>
      <c r="B30" s="12" t="s">
        <v>153</v>
      </c>
      <c r="C30" s="301">
        <f>-C23-C25+C32-C28-C24-C26-C27</f>
        <v>0</v>
      </c>
      <c r="D30" s="301">
        <f>-D23-D25+D32-D28-D24-D26-D27</f>
        <v>0</v>
      </c>
      <c r="E30" s="301">
        <f>-E23-E25+E32-E28-E24-E26-E27</f>
        <v>0</v>
      </c>
      <c r="F30" s="85"/>
      <c r="G30" s="91">
        <f>-G23-G25+G32-G28-G24-G26-G27</f>
        <v>-21667.699229999998</v>
      </c>
      <c r="H30" s="85"/>
      <c r="I30" s="91">
        <f>-I23-I25+I32-I28-I24-I26-I27</f>
        <v>-37991.396589999989</v>
      </c>
      <c r="J30" s="85"/>
      <c r="L30" s="109"/>
    </row>
    <row r="31" spans="1:12" s="3" customFormat="1" x14ac:dyDescent="0.2">
      <c r="A31" s="165"/>
      <c r="B31" s="100"/>
      <c r="C31" s="13"/>
      <c r="D31" s="18"/>
      <c r="E31" s="174"/>
      <c r="F31" s="87"/>
      <c r="G31" s="13"/>
      <c r="H31" s="14"/>
      <c r="I31" s="13"/>
      <c r="J31" s="14"/>
    </row>
    <row r="32" spans="1:12" ht="13.5" thickBot="1" x14ac:dyDescent="0.25">
      <c r="A32" s="168"/>
      <c r="B32" s="121" t="s">
        <v>18</v>
      </c>
      <c r="C32" s="81">
        <f>-C20</f>
        <v>30713</v>
      </c>
      <c r="D32" s="147">
        <f>-D20</f>
        <v>0</v>
      </c>
      <c r="E32" s="378">
        <f>-E20</f>
        <v>30713</v>
      </c>
      <c r="F32" s="88"/>
      <c r="G32" s="81">
        <f>-G20</f>
        <v>-15486.02923</v>
      </c>
      <c r="H32" s="20"/>
      <c r="I32" s="81">
        <f>-I20</f>
        <v>-23612.431589999993</v>
      </c>
      <c r="J32" s="20"/>
      <c r="L32" s="109"/>
    </row>
    <row r="33" spans="2:10" x14ac:dyDescent="0.2">
      <c r="C33" s="21"/>
      <c r="E33" s="67"/>
      <c r="F33" s="22"/>
      <c r="G33" s="22"/>
      <c r="H33" s="22"/>
      <c r="I33" s="22"/>
      <c r="J33" s="22"/>
    </row>
    <row r="34" spans="2:10" x14ac:dyDescent="0.2">
      <c r="B34" s="302"/>
      <c r="C34" s="221"/>
      <c r="E34" s="135"/>
      <c r="F34" s="225"/>
      <c r="H34" s="113"/>
      <c r="J34" s="113"/>
    </row>
    <row r="35" spans="2:10" ht="12.75" customHeight="1" x14ac:dyDescent="0.2">
      <c r="B35" s="329"/>
      <c r="C35" s="97"/>
      <c r="D35" s="97"/>
      <c r="E35" s="302"/>
      <c r="F35" s="225"/>
      <c r="G35" s="113"/>
      <c r="H35" s="113"/>
      <c r="I35" s="113"/>
      <c r="J35" s="113"/>
    </row>
    <row r="36" spans="2:10" x14ac:dyDescent="0.2">
      <c r="B36" s="329"/>
      <c r="C36" s="97"/>
      <c r="D36" s="97"/>
      <c r="E36" s="302"/>
      <c r="F36" s="225"/>
      <c r="G36" s="113"/>
      <c r="H36" s="113"/>
      <c r="I36" s="557"/>
      <c r="J36" s="113"/>
    </row>
    <row r="37" spans="2:10" x14ac:dyDescent="0.2">
      <c r="B37" s="226"/>
      <c r="C37" s="302"/>
      <c r="D37" s="302"/>
      <c r="E37" s="308"/>
      <c r="F37" s="225"/>
      <c r="G37" s="113"/>
      <c r="H37" s="113"/>
      <c r="I37" s="556"/>
      <c r="J37" s="113"/>
    </row>
    <row r="38" spans="2:10" x14ac:dyDescent="0.2">
      <c r="B38" s="226"/>
      <c r="C38" s="221"/>
      <c r="D38" s="113"/>
      <c r="E38" s="308"/>
      <c r="F38" s="225"/>
      <c r="G38" s="113"/>
      <c r="H38" s="113"/>
      <c r="I38" s="113"/>
      <c r="J38" s="113"/>
    </row>
    <row r="39" spans="2:10" x14ac:dyDescent="0.2">
      <c r="C39" s="221"/>
      <c r="D39" s="113"/>
      <c r="E39" s="308"/>
      <c r="F39" s="225"/>
      <c r="G39" s="113"/>
      <c r="H39" s="113"/>
      <c r="I39" s="113"/>
      <c r="J39" s="113"/>
    </row>
    <row r="40" spans="2:10" x14ac:dyDescent="0.2">
      <c r="B40" s="226"/>
      <c r="C40" s="221"/>
      <c r="D40" s="113"/>
      <c r="E40" s="135"/>
      <c r="F40" s="225"/>
      <c r="G40" s="113"/>
      <c r="H40" s="113"/>
      <c r="I40" s="113"/>
      <c r="J40" s="113"/>
    </row>
    <row r="41" spans="2:10" x14ac:dyDescent="0.2">
      <c r="B41" s="226"/>
      <c r="C41" s="221"/>
      <c r="D41" s="113"/>
      <c r="E41" s="135"/>
      <c r="F41" s="225"/>
      <c r="G41" s="113"/>
      <c r="H41" s="113"/>
      <c r="I41" s="113"/>
      <c r="J41" s="113"/>
    </row>
    <row r="42" spans="2:10" x14ac:dyDescent="0.2">
      <c r="B42" s="226"/>
      <c r="C42" s="221"/>
      <c r="D42" s="113"/>
      <c r="E42" s="135"/>
      <c r="F42" s="225"/>
      <c r="G42" s="113"/>
      <c r="H42" s="113"/>
      <c r="I42" s="113"/>
      <c r="J42" s="113"/>
    </row>
    <row r="43" spans="2:10" x14ac:dyDescent="0.2">
      <c r="B43" s="227"/>
      <c r="C43" s="221"/>
      <c r="D43" s="113"/>
      <c r="E43" s="135"/>
      <c r="F43" s="225"/>
      <c r="G43" s="113"/>
      <c r="H43" s="113"/>
      <c r="I43" s="113"/>
      <c r="J43" s="113"/>
    </row>
    <row r="44" spans="2:10" x14ac:dyDescent="0.2">
      <c r="B44" s="227"/>
      <c r="C44" s="221"/>
      <c r="D44" s="113"/>
      <c r="E44" s="135"/>
      <c r="F44" s="225"/>
      <c r="G44" s="113"/>
      <c r="H44" s="113"/>
      <c r="I44" s="113"/>
      <c r="J44" s="113"/>
    </row>
    <row r="45" spans="2:10" x14ac:dyDescent="0.2">
      <c r="B45" s="226"/>
      <c r="C45" s="221"/>
      <c r="D45" s="113"/>
      <c r="E45" s="135"/>
      <c r="F45" s="225"/>
      <c r="G45" s="113"/>
      <c r="H45" s="113"/>
      <c r="I45" s="113"/>
      <c r="J45" s="113"/>
    </row>
    <row r="46" spans="2:10" x14ac:dyDescent="0.2">
      <c r="B46" s="226"/>
      <c r="C46" s="221"/>
      <c r="D46" s="113"/>
      <c r="E46" s="135"/>
      <c r="F46" s="225"/>
      <c r="G46" s="113"/>
      <c r="H46" s="113"/>
      <c r="I46" s="113"/>
      <c r="J46" s="113"/>
    </row>
    <row r="47" spans="2:10" x14ac:dyDescent="0.2">
      <c r="B47" s="226"/>
      <c r="C47" s="221"/>
      <c r="D47" s="113"/>
      <c r="E47" s="135"/>
      <c r="F47" s="225"/>
      <c r="G47" s="113"/>
      <c r="H47" s="113"/>
      <c r="I47" s="113"/>
      <c r="J47" s="113"/>
    </row>
    <row r="48" spans="2:10" x14ac:dyDescent="0.2">
      <c r="B48" s="226"/>
      <c r="C48" s="221"/>
      <c r="D48" s="113"/>
      <c r="E48" s="135"/>
      <c r="F48" s="225"/>
      <c r="G48" s="113"/>
      <c r="H48" s="113"/>
      <c r="I48" s="113"/>
      <c r="J48" s="113"/>
    </row>
    <row r="49" spans="2:10" x14ac:dyDescent="0.2">
      <c r="B49" s="226"/>
      <c r="C49" s="221"/>
      <c r="D49" s="113"/>
      <c r="E49" s="135"/>
      <c r="F49" s="225"/>
      <c r="G49" s="113"/>
      <c r="H49" s="113"/>
      <c r="I49" s="113"/>
      <c r="J49" s="113"/>
    </row>
    <row r="50" spans="2:10" x14ac:dyDescent="0.2">
      <c r="B50" s="226"/>
      <c r="C50" s="221"/>
      <c r="D50" s="113"/>
      <c r="E50" s="135"/>
      <c r="F50" s="225"/>
      <c r="G50" s="113"/>
      <c r="H50" s="113"/>
      <c r="I50" s="113"/>
      <c r="J50" s="113"/>
    </row>
    <row r="51" spans="2:10" x14ac:dyDescent="0.2">
      <c r="B51" s="226"/>
      <c r="C51" s="221"/>
      <c r="D51" s="113"/>
      <c r="E51" s="135"/>
      <c r="F51" s="225"/>
      <c r="G51" s="113"/>
      <c r="H51" s="113"/>
      <c r="I51" s="113"/>
      <c r="J51" s="113"/>
    </row>
    <row r="52" spans="2:10" x14ac:dyDescent="0.2">
      <c r="B52" s="226"/>
      <c r="C52" s="221"/>
      <c r="D52" s="113"/>
      <c r="E52" s="135"/>
      <c r="F52" s="225"/>
      <c r="G52" s="113"/>
      <c r="H52" s="113"/>
      <c r="I52" s="113"/>
      <c r="J52" s="113"/>
    </row>
    <row r="53" spans="2:10" x14ac:dyDescent="0.2">
      <c r="B53" s="226"/>
      <c r="C53" s="221"/>
      <c r="D53" s="113"/>
      <c r="E53" s="135"/>
      <c r="F53" s="225"/>
      <c r="G53" s="113"/>
      <c r="H53" s="113"/>
      <c r="I53" s="113"/>
      <c r="J53" s="113"/>
    </row>
    <row r="54" spans="2:10" x14ac:dyDescent="0.2">
      <c r="B54" s="226"/>
      <c r="C54" s="221"/>
      <c r="D54" s="113"/>
      <c r="E54" s="135"/>
      <c r="F54" s="225"/>
      <c r="G54" s="113"/>
      <c r="H54" s="113"/>
      <c r="I54" s="113"/>
      <c r="J54" s="113"/>
    </row>
    <row r="55" spans="2:10" x14ac:dyDescent="0.2">
      <c r="B55" s="226"/>
      <c r="C55" s="221"/>
      <c r="D55" s="113"/>
      <c r="E55" s="135"/>
      <c r="F55" s="225"/>
      <c r="G55" s="113"/>
      <c r="H55" s="113"/>
      <c r="I55" s="113"/>
      <c r="J55" s="113"/>
    </row>
    <row r="56" spans="2:10" x14ac:dyDescent="0.2">
      <c r="B56" s="227"/>
      <c r="C56" s="221"/>
      <c r="D56" s="113"/>
      <c r="E56" s="135"/>
      <c r="F56" s="225"/>
      <c r="G56" s="113"/>
      <c r="H56" s="113"/>
      <c r="I56" s="113"/>
      <c r="J56" s="113"/>
    </row>
    <row r="57" spans="2:10" x14ac:dyDescent="0.2">
      <c r="B57" s="227"/>
      <c r="C57" s="221"/>
      <c r="D57" s="113"/>
      <c r="E57" s="135"/>
      <c r="F57" s="225"/>
      <c r="G57" s="113"/>
      <c r="H57" s="113"/>
      <c r="I57" s="113"/>
      <c r="J57" s="113"/>
    </row>
    <row r="58" spans="2:10" x14ac:dyDescent="0.2">
      <c r="B58" s="227"/>
      <c r="C58" s="221"/>
      <c r="D58" s="113"/>
      <c r="E58" s="135"/>
      <c r="F58" s="225"/>
      <c r="G58" s="113"/>
      <c r="H58" s="113"/>
      <c r="I58" s="113"/>
      <c r="J58" s="113"/>
    </row>
    <row r="59" spans="2:10" x14ac:dyDescent="0.2">
      <c r="B59" s="227"/>
      <c r="C59" s="221"/>
      <c r="D59" s="113"/>
      <c r="E59" s="135"/>
      <c r="F59" s="225"/>
      <c r="G59" s="113"/>
      <c r="H59" s="113"/>
      <c r="I59" s="113"/>
      <c r="J59" s="113"/>
    </row>
    <row r="60" spans="2:10" x14ac:dyDescent="0.2">
      <c r="B60" s="227"/>
      <c r="C60" s="221"/>
      <c r="D60" s="113"/>
      <c r="E60" s="135"/>
      <c r="F60" s="225"/>
      <c r="G60" s="113"/>
      <c r="H60" s="113"/>
      <c r="I60" s="113"/>
      <c r="J60" s="113"/>
    </row>
    <row r="61" spans="2:10" x14ac:dyDescent="0.2">
      <c r="B61" s="227"/>
      <c r="C61" s="221"/>
      <c r="D61" s="113"/>
      <c r="E61" s="135"/>
      <c r="F61" s="225"/>
      <c r="G61" s="113"/>
      <c r="H61" s="113"/>
      <c r="I61" s="113"/>
      <c r="J61" s="113"/>
    </row>
    <row r="62" spans="2:10" x14ac:dyDescent="0.2">
      <c r="B62" s="227"/>
      <c r="C62" s="221"/>
      <c r="D62" s="113"/>
      <c r="E62" s="135"/>
      <c r="F62" s="225"/>
      <c r="G62" s="113"/>
      <c r="H62" s="113"/>
      <c r="I62" s="113"/>
      <c r="J62" s="113"/>
    </row>
    <row r="63" spans="2:10" x14ac:dyDescent="0.2">
      <c r="B63" s="227"/>
      <c r="C63" s="221"/>
      <c r="D63" s="113"/>
      <c r="E63" s="135"/>
      <c r="F63" s="225"/>
      <c r="G63" s="113"/>
      <c r="H63" s="113"/>
      <c r="I63" s="113"/>
      <c r="J63" s="113"/>
    </row>
    <row r="64" spans="2:10" x14ac:dyDescent="0.2">
      <c r="B64" s="227"/>
      <c r="C64" s="221"/>
      <c r="D64" s="113"/>
      <c r="E64" s="135"/>
      <c r="F64" s="225"/>
      <c r="G64" s="113"/>
      <c r="H64" s="113"/>
      <c r="I64" s="113"/>
      <c r="J64" s="113"/>
    </row>
    <row r="65" spans="2:10" x14ac:dyDescent="0.2">
      <c r="B65" s="227"/>
      <c r="C65" s="221"/>
      <c r="D65" s="113"/>
      <c r="E65" s="135"/>
      <c r="F65" s="225"/>
      <c r="G65" s="113"/>
      <c r="H65" s="113"/>
      <c r="I65" s="113"/>
      <c r="J65" s="113"/>
    </row>
    <row r="66" spans="2:10" x14ac:dyDescent="0.2">
      <c r="B66" s="113"/>
      <c r="C66" s="221"/>
      <c r="D66" s="113"/>
      <c r="E66" s="135"/>
      <c r="F66" s="221"/>
      <c r="G66" s="113"/>
      <c r="H66" s="113"/>
      <c r="I66" s="113"/>
      <c r="J66" s="113"/>
    </row>
  </sheetData>
  <phoneticPr fontId="6" type="noConversion"/>
  <pageMargins left="0.59055118110236227" right="0.27559055118110237" top="0.59055118110236227" bottom="0" header="0.2362204724409449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P176"/>
  <sheetViews>
    <sheetView zoomScale="130" zoomScaleNormal="130" workbookViewId="0">
      <pane ySplit="3" topLeftCell="A4" activePane="bottomLeft" state="frozen"/>
      <selection pane="bottomLeft"/>
    </sheetView>
  </sheetViews>
  <sheetFormatPr defaultColWidth="7.85546875" defaultRowHeight="12.75" x14ac:dyDescent="0.2"/>
  <cols>
    <col min="1" max="1" width="4" style="94" customWidth="1"/>
    <col min="2" max="2" width="4.42578125" style="94" customWidth="1"/>
    <col min="3" max="3" width="5.28515625" style="22" customWidth="1"/>
    <col min="4" max="4" width="9.28515625" style="94" customWidth="1"/>
    <col min="5" max="5" width="44.7109375" style="94" bestFit="1" customWidth="1"/>
    <col min="6" max="6" width="10.42578125" style="109" bestFit="1" customWidth="1"/>
    <col min="7" max="7" width="7.140625" style="109" customWidth="1"/>
    <col min="8" max="8" width="11.5703125" style="134" bestFit="1" customWidth="1"/>
    <col min="9" max="9" width="7.42578125" style="525" hidden="1" customWidth="1"/>
    <col min="10" max="10" width="6.28515625" style="94" hidden="1" customWidth="1"/>
    <col min="11" max="11" width="9.140625" style="109" customWidth="1"/>
    <col min="12" max="12" width="8" style="101" customWidth="1"/>
    <col min="13" max="13" width="16.140625" style="196" customWidth="1"/>
    <col min="14" max="14" width="4.85546875" style="94" hidden="1" customWidth="1"/>
    <col min="15" max="15" width="11.42578125" style="94" bestFit="1" customWidth="1"/>
    <col min="16" max="16384" width="7.85546875" style="94"/>
  </cols>
  <sheetData>
    <row r="1" spans="1:14" ht="18" x14ac:dyDescent="0.25">
      <c r="A1" s="103" t="s">
        <v>558</v>
      </c>
      <c r="B1" s="23"/>
      <c r="C1" s="23"/>
      <c r="D1" s="23"/>
      <c r="E1" s="23"/>
      <c r="F1" s="138"/>
      <c r="G1" s="138"/>
      <c r="H1" s="131"/>
      <c r="I1" s="522"/>
      <c r="J1" s="105"/>
      <c r="K1" s="138"/>
      <c r="L1" s="105"/>
      <c r="M1" s="332"/>
    </row>
    <row r="2" spans="1:14" x14ac:dyDescent="0.2">
      <c r="A2" s="24"/>
      <c r="B2" s="24"/>
      <c r="C2" s="24"/>
      <c r="D2" s="24"/>
      <c r="E2" s="321"/>
      <c r="F2" s="145" t="s">
        <v>396</v>
      </c>
      <c r="G2" s="395"/>
      <c r="H2" s="132" t="s">
        <v>118</v>
      </c>
      <c r="I2" s="523" t="s">
        <v>5</v>
      </c>
      <c r="J2" s="25" t="s">
        <v>5</v>
      </c>
      <c r="K2" s="145" t="s">
        <v>5</v>
      </c>
      <c r="L2" s="25" t="s">
        <v>5</v>
      </c>
      <c r="M2" s="181" t="s">
        <v>19</v>
      </c>
    </row>
    <row r="3" spans="1:14" ht="13.5" thickBot="1" x14ac:dyDescent="0.25">
      <c r="A3" s="26"/>
      <c r="B3" s="26" t="s">
        <v>20</v>
      </c>
      <c r="C3" s="27" t="s">
        <v>21</v>
      </c>
      <c r="D3" s="26" t="s">
        <v>22</v>
      </c>
      <c r="E3" s="26" t="s">
        <v>23</v>
      </c>
      <c r="F3" s="236"/>
      <c r="G3" s="396" t="s">
        <v>152</v>
      </c>
      <c r="H3" s="130" t="s">
        <v>113</v>
      </c>
      <c r="I3" s="524" t="s">
        <v>526</v>
      </c>
      <c r="J3" s="27" t="s">
        <v>4</v>
      </c>
      <c r="K3" s="236" t="s">
        <v>527</v>
      </c>
      <c r="L3" s="558" t="s">
        <v>4</v>
      </c>
      <c r="M3" s="28" t="s">
        <v>126</v>
      </c>
      <c r="N3" s="229"/>
    </row>
    <row r="4" spans="1:14" x14ac:dyDescent="0.2">
      <c r="A4" s="107" t="s">
        <v>24</v>
      </c>
      <c r="B4" s="77"/>
      <c r="C4" s="77"/>
      <c r="D4" s="77"/>
      <c r="E4" s="107" t="s">
        <v>25</v>
      </c>
      <c r="F4" s="76"/>
      <c r="G4" s="397"/>
      <c r="H4" s="133"/>
      <c r="I4" s="76"/>
      <c r="J4" s="30"/>
      <c r="K4" s="76"/>
      <c r="L4" s="30"/>
      <c r="M4" s="102"/>
      <c r="N4" s="97"/>
    </row>
    <row r="5" spans="1:14" x14ac:dyDescent="0.2">
      <c r="A5" s="95" t="s">
        <v>26</v>
      </c>
      <c r="B5" s="32"/>
      <c r="C5" s="32"/>
      <c r="D5" s="32"/>
      <c r="E5" s="32"/>
      <c r="F5" s="73">
        <f>SUM(F6:F12)</f>
        <v>87780</v>
      </c>
      <c r="G5" s="397">
        <f>SUM(G6:G12)</f>
        <v>196</v>
      </c>
      <c r="H5" s="73">
        <f>SUM(H6:H12)</f>
        <v>87976</v>
      </c>
      <c r="I5" s="73">
        <f>SUM(I6:I12)</f>
        <v>28154.682690000001</v>
      </c>
      <c r="J5" s="159">
        <f t="shared" ref="J5:J12" si="0">I5/$H5*100</f>
        <v>32.002685607438394</v>
      </c>
      <c r="K5" s="73">
        <f>SUM(K6:K12)</f>
        <v>50256.58599</v>
      </c>
      <c r="L5" s="159">
        <f t="shared" ref="L5:L12" si="1">K5/$H5*100</f>
        <v>57.125336444030197</v>
      </c>
      <c r="M5" s="294"/>
      <c r="N5" s="22"/>
    </row>
    <row r="6" spans="1:14" x14ac:dyDescent="0.2">
      <c r="A6" s="106" t="s">
        <v>27</v>
      </c>
      <c r="B6" s="29">
        <v>1111</v>
      </c>
      <c r="C6" s="362"/>
      <c r="D6" s="108"/>
      <c r="E6" s="29" t="s">
        <v>129</v>
      </c>
      <c r="F6" s="237">
        <v>13000</v>
      </c>
      <c r="G6" s="398"/>
      <c r="H6" s="72">
        <f t="shared" ref="H6:H12" si="2">SUM(F6:G6)</f>
        <v>13000</v>
      </c>
      <c r="I6" s="364">
        <v>3367.9269899999999</v>
      </c>
      <c r="J6" s="34">
        <f t="shared" si="0"/>
        <v>25.907130692307689</v>
      </c>
      <c r="K6" s="72">
        <f>6529.9495</f>
        <v>6529.9494999999997</v>
      </c>
      <c r="L6" s="363">
        <f t="shared" si="1"/>
        <v>50.230380769230763</v>
      </c>
      <c r="M6" s="34" t="s">
        <v>134</v>
      </c>
      <c r="N6" s="235"/>
    </row>
    <row r="7" spans="1:14" x14ac:dyDescent="0.2">
      <c r="A7" s="106"/>
      <c r="B7" s="29">
        <v>1112</v>
      </c>
      <c r="C7" s="362"/>
      <c r="D7" s="106"/>
      <c r="E7" s="29" t="s">
        <v>215</v>
      </c>
      <c r="F7" s="237">
        <v>400</v>
      </c>
      <c r="G7" s="398"/>
      <c r="H7" s="72">
        <f t="shared" si="2"/>
        <v>400</v>
      </c>
      <c r="I7" s="364">
        <v>258.22694000000001</v>
      </c>
      <c r="J7" s="34">
        <f t="shared" si="0"/>
        <v>64.556735000000003</v>
      </c>
      <c r="K7" s="72">
        <v>258.22694000000001</v>
      </c>
      <c r="L7" s="363">
        <f t="shared" si="1"/>
        <v>64.556735000000003</v>
      </c>
      <c r="M7" s="34" t="s">
        <v>134</v>
      </c>
      <c r="N7" s="235"/>
    </row>
    <row r="8" spans="1:14" x14ac:dyDescent="0.2">
      <c r="A8" s="106"/>
      <c r="B8" s="29">
        <v>1113</v>
      </c>
      <c r="C8" s="362"/>
      <c r="D8" s="106"/>
      <c r="E8" s="29" t="s">
        <v>131</v>
      </c>
      <c r="F8" s="237">
        <v>2300</v>
      </c>
      <c r="G8" s="398"/>
      <c r="H8" s="72">
        <f t="shared" si="2"/>
        <v>2300</v>
      </c>
      <c r="I8" s="364">
        <v>621.86360999999999</v>
      </c>
      <c r="J8" s="34">
        <f t="shared" si="0"/>
        <v>27.037548260869563</v>
      </c>
      <c r="K8" s="72">
        <v>1284.0226700000001</v>
      </c>
      <c r="L8" s="363">
        <f t="shared" si="1"/>
        <v>55.827072608695659</v>
      </c>
      <c r="M8" s="34" t="s">
        <v>134</v>
      </c>
      <c r="N8" s="235"/>
    </row>
    <row r="9" spans="1:14" x14ac:dyDescent="0.2">
      <c r="A9" s="106"/>
      <c r="B9" s="29">
        <v>1121</v>
      </c>
      <c r="C9" s="362"/>
      <c r="D9" s="106"/>
      <c r="E9" s="29" t="s">
        <v>132</v>
      </c>
      <c r="F9" s="237">
        <v>18000</v>
      </c>
      <c r="G9" s="398"/>
      <c r="H9" s="72">
        <f t="shared" si="2"/>
        <v>18000</v>
      </c>
      <c r="I9" s="364">
        <v>4029.40841</v>
      </c>
      <c r="J9" s="34">
        <f t="shared" si="0"/>
        <v>22.385602277777778</v>
      </c>
      <c r="K9" s="72">
        <v>9069.0420200000008</v>
      </c>
      <c r="L9" s="363">
        <f t="shared" si="1"/>
        <v>50.38356677777778</v>
      </c>
      <c r="M9" s="34" t="s">
        <v>134</v>
      </c>
      <c r="N9" s="235"/>
    </row>
    <row r="10" spans="1:14" x14ac:dyDescent="0.2">
      <c r="A10" s="106"/>
      <c r="B10" s="29">
        <v>1211</v>
      </c>
      <c r="C10" s="362"/>
      <c r="D10" s="106"/>
      <c r="E10" s="29" t="s">
        <v>130</v>
      </c>
      <c r="F10" s="237">
        <v>45000</v>
      </c>
      <c r="G10" s="398"/>
      <c r="H10" s="72">
        <f t="shared" si="2"/>
        <v>45000</v>
      </c>
      <c r="I10" s="364">
        <v>11627.53903</v>
      </c>
      <c r="J10" s="34">
        <f t="shared" si="0"/>
        <v>25.838975622222222</v>
      </c>
      <c r="K10" s="72">
        <v>24514.644700000001</v>
      </c>
      <c r="L10" s="363">
        <f t="shared" si="1"/>
        <v>54.476988222222225</v>
      </c>
      <c r="M10" s="34" t="s">
        <v>134</v>
      </c>
      <c r="N10" s="235"/>
    </row>
    <row r="11" spans="1:14" x14ac:dyDescent="0.2">
      <c r="A11" s="106"/>
      <c r="B11" s="29">
        <v>1111</v>
      </c>
      <c r="C11" s="362"/>
      <c r="D11" s="29">
        <v>2</v>
      </c>
      <c r="E11" s="29" t="s">
        <v>143</v>
      </c>
      <c r="F11" s="237">
        <v>1400</v>
      </c>
      <c r="G11" s="398"/>
      <c r="H11" s="72">
        <f t="shared" si="2"/>
        <v>1400</v>
      </c>
      <c r="I11" s="364">
        <v>373.83771000000002</v>
      </c>
      <c r="J11" s="34">
        <f t="shared" si="0"/>
        <v>26.702693571428572</v>
      </c>
      <c r="K11" s="72">
        <v>724.82015999999999</v>
      </c>
      <c r="L11" s="363">
        <f t="shared" si="1"/>
        <v>51.772868571428567</v>
      </c>
      <c r="M11" s="182"/>
      <c r="N11" s="235"/>
    </row>
    <row r="12" spans="1:14" x14ac:dyDescent="0.2">
      <c r="A12" s="106"/>
      <c r="B12" s="29">
        <v>1122</v>
      </c>
      <c r="C12" s="362"/>
      <c r="D12" s="106"/>
      <c r="E12" s="29" t="s">
        <v>133</v>
      </c>
      <c r="F12" s="237">
        <v>7680</v>
      </c>
      <c r="G12" s="399">
        <v>196</v>
      </c>
      <c r="H12" s="72">
        <f t="shared" si="2"/>
        <v>7876</v>
      </c>
      <c r="I12" s="364">
        <v>7875.88</v>
      </c>
      <c r="J12" s="34">
        <f t="shared" si="0"/>
        <v>99.998476383951242</v>
      </c>
      <c r="K12" s="364">
        <v>7875.88</v>
      </c>
      <c r="L12" s="363">
        <f t="shared" si="1"/>
        <v>99.998476383951242</v>
      </c>
      <c r="M12" s="108" t="s">
        <v>178</v>
      </c>
      <c r="N12" s="235"/>
    </row>
    <row r="13" spans="1:14" x14ac:dyDescent="0.2">
      <c r="A13" s="95" t="s">
        <v>28</v>
      </c>
      <c r="B13" s="32"/>
      <c r="C13" s="32"/>
      <c r="D13" s="32"/>
      <c r="E13" s="32"/>
      <c r="F13" s="73"/>
      <c r="G13" s="397"/>
      <c r="H13" s="73"/>
      <c r="I13" s="73"/>
      <c r="J13" s="34"/>
      <c r="K13" s="73"/>
      <c r="L13" s="363"/>
      <c r="M13" s="224"/>
      <c r="N13" s="322"/>
    </row>
    <row r="14" spans="1:14" x14ac:dyDescent="0.2">
      <c r="A14" s="106"/>
      <c r="B14" s="106"/>
      <c r="C14" s="362"/>
      <c r="D14" s="106"/>
      <c r="E14" s="32" t="s">
        <v>172</v>
      </c>
      <c r="F14" s="73">
        <f>SUM(F15:F25)</f>
        <v>4480</v>
      </c>
      <c r="G14" s="397">
        <f>SUM(G15:G25)</f>
        <v>0</v>
      </c>
      <c r="H14" s="73">
        <f>SUM(H15:H25)</f>
        <v>4480</v>
      </c>
      <c r="I14" s="73">
        <f>SUM(I15:I25)</f>
        <v>1186.95</v>
      </c>
      <c r="J14" s="159">
        <f>I14/$H14*100</f>
        <v>26.494419642857142</v>
      </c>
      <c r="K14" s="73">
        <f>SUM(K15:K25)</f>
        <v>2732.3</v>
      </c>
      <c r="L14" s="159">
        <f t="shared" ref="L14:L26" si="3">K14/$H14*100</f>
        <v>60.988839285714292</v>
      </c>
      <c r="M14" s="224"/>
      <c r="N14" s="135"/>
    </row>
    <row r="15" spans="1:14" x14ac:dyDescent="0.2">
      <c r="A15" s="106"/>
      <c r="B15" s="29">
        <v>1361</v>
      </c>
      <c r="D15" s="108" t="s">
        <v>160</v>
      </c>
      <c r="E15" s="29" t="s">
        <v>29</v>
      </c>
      <c r="F15" s="237">
        <v>195</v>
      </c>
      <c r="G15" s="399"/>
      <c r="H15" s="72">
        <f t="shared" ref="H15:H25" si="4">SUM(F15:G15)</f>
        <v>195</v>
      </c>
      <c r="I15" s="364">
        <f>1.715+19.43+23</f>
        <v>44.144999999999996</v>
      </c>
      <c r="J15" s="34">
        <f t="shared" ref="J15:J36" si="5">I15/$H15*100</f>
        <v>22.638461538461534</v>
      </c>
      <c r="K15" s="72">
        <f>3.915+42.43+1+47</f>
        <v>94.344999999999999</v>
      </c>
      <c r="L15" s="363">
        <f t="shared" si="3"/>
        <v>48.382051282051279</v>
      </c>
      <c r="M15" s="183" t="s">
        <v>356</v>
      </c>
      <c r="N15" s="113"/>
    </row>
    <row r="16" spans="1:14" x14ac:dyDescent="0.2">
      <c r="A16" s="106"/>
      <c r="B16" s="29">
        <v>1361</v>
      </c>
      <c r="C16" s="362"/>
      <c r="D16" s="29">
        <v>7</v>
      </c>
      <c r="E16" s="29" t="s">
        <v>187</v>
      </c>
      <c r="F16" s="237">
        <v>800</v>
      </c>
      <c r="G16" s="399"/>
      <c r="H16" s="72">
        <f t="shared" si="4"/>
        <v>800</v>
      </c>
      <c r="I16" s="364">
        <v>209.33</v>
      </c>
      <c r="J16" s="34">
        <f t="shared" si="5"/>
        <v>26.166250000000002</v>
      </c>
      <c r="K16" s="72">
        <v>533.13</v>
      </c>
      <c r="L16" s="363">
        <f t="shared" si="3"/>
        <v>66.641249999999999</v>
      </c>
      <c r="M16" s="183"/>
      <c r="N16" s="113"/>
    </row>
    <row r="17" spans="1:15" x14ac:dyDescent="0.2">
      <c r="A17" s="106"/>
      <c r="B17" s="29">
        <v>1361</v>
      </c>
      <c r="C17" s="362"/>
      <c r="D17" s="29">
        <v>10.23</v>
      </c>
      <c r="E17" s="110" t="s">
        <v>189</v>
      </c>
      <c r="F17" s="237">
        <f>85+35</f>
        <v>120</v>
      </c>
      <c r="G17" s="399"/>
      <c r="H17" s="72">
        <f t="shared" si="4"/>
        <v>120</v>
      </c>
      <c r="I17" s="364">
        <f>20.725+49.1</f>
        <v>69.825000000000003</v>
      </c>
      <c r="J17" s="34">
        <f t="shared" si="5"/>
        <v>58.1875</v>
      </c>
      <c r="K17" s="72">
        <f>27.55+84.1</f>
        <v>111.64999999999999</v>
      </c>
      <c r="L17" s="363">
        <f t="shared" si="3"/>
        <v>93.041666666666657</v>
      </c>
      <c r="M17" s="183"/>
    </row>
    <row r="18" spans="1:15" x14ac:dyDescent="0.2">
      <c r="A18" s="106"/>
      <c r="B18" s="29">
        <v>1361</v>
      </c>
      <c r="C18" s="362"/>
      <c r="D18" s="29">
        <v>11</v>
      </c>
      <c r="E18" s="29" t="s">
        <v>30</v>
      </c>
      <c r="F18" s="237">
        <v>150</v>
      </c>
      <c r="G18" s="399"/>
      <c r="H18" s="72">
        <f t="shared" si="4"/>
        <v>150</v>
      </c>
      <c r="I18" s="364">
        <v>40.94</v>
      </c>
      <c r="J18" s="34">
        <f t="shared" si="5"/>
        <v>27.293333333333329</v>
      </c>
      <c r="K18" s="72">
        <v>85.86</v>
      </c>
      <c r="L18" s="363">
        <f t="shared" si="3"/>
        <v>57.24</v>
      </c>
      <c r="M18" s="183"/>
    </row>
    <row r="19" spans="1:15" x14ac:dyDescent="0.2">
      <c r="A19" s="106"/>
      <c r="B19" s="29">
        <v>1361</v>
      </c>
      <c r="C19" s="362"/>
      <c r="D19" s="29">
        <v>24</v>
      </c>
      <c r="E19" s="29" t="s">
        <v>190</v>
      </c>
      <c r="F19" s="237">
        <v>30</v>
      </c>
      <c r="G19" s="399"/>
      <c r="H19" s="72">
        <f t="shared" si="4"/>
        <v>30</v>
      </c>
      <c r="I19" s="364">
        <v>7.8</v>
      </c>
      <c r="J19" s="34">
        <f t="shared" si="5"/>
        <v>26</v>
      </c>
      <c r="K19" s="72">
        <v>21.3</v>
      </c>
      <c r="L19" s="363">
        <f t="shared" si="3"/>
        <v>71.000000000000014</v>
      </c>
      <c r="M19" s="183"/>
      <c r="N19" s="328"/>
    </row>
    <row r="20" spans="1:15" x14ac:dyDescent="0.2">
      <c r="A20" s="106"/>
      <c r="B20" s="29">
        <v>1361</v>
      </c>
      <c r="C20" s="362"/>
      <c r="D20" s="29" t="s">
        <v>420</v>
      </c>
      <c r="E20" s="29" t="s">
        <v>191</v>
      </c>
      <c r="F20" s="237">
        <f>90+210+2200</f>
        <v>2500</v>
      </c>
      <c r="G20" s="398"/>
      <c r="H20" s="72">
        <f t="shared" si="4"/>
        <v>2500</v>
      </c>
      <c r="I20" s="364">
        <f>8.2+432.2+58.85</f>
        <v>499.25</v>
      </c>
      <c r="J20" s="34">
        <f t="shared" si="5"/>
        <v>19.97</v>
      </c>
      <c r="K20" s="72">
        <f>29.4+1003.45+108.605</f>
        <v>1141.4550000000002</v>
      </c>
      <c r="L20" s="363">
        <f t="shared" si="3"/>
        <v>45.658200000000008</v>
      </c>
      <c r="M20" s="183"/>
      <c r="N20" s="109"/>
    </row>
    <row r="21" spans="1:15" x14ac:dyDescent="0.2">
      <c r="A21" s="106"/>
      <c r="B21" s="29">
        <v>1353</v>
      </c>
      <c r="C21" s="362"/>
      <c r="D21" s="29">
        <v>26</v>
      </c>
      <c r="E21" s="29" t="s">
        <v>214</v>
      </c>
      <c r="F21" s="237">
        <v>250</v>
      </c>
      <c r="G21" s="398"/>
      <c r="H21" s="72">
        <f t="shared" si="4"/>
        <v>250</v>
      </c>
      <c r="I21" s="364">
        <v>22.1</v>
      </c>
      <c r="J21" s="34">
        <f t="shared" si="5"/>
        <v>8.84</v>
      </c>
      <c r="K21" s="72">
        <v>73.400000000000006</v>
      </c>
      <c r="L21" s="363">
        <f t="shared" si="3"/>
        <v>29.360000000000003</v>
      </c>
      <c r="M21" s="183"/>
    </row>
    <row r="22" spans="1:15" x14ac:dyDescent="0.2">
      <c r="A22" s="106"/>
      <c r="B22" s="29">
        <v>1361</v>
      </c>
      <c r="C22" s="362"/>
      <c r="D22" s="29">
        <v>32.33</v>
      </c>
      <c r="E22" s="29" t="s">
        <v>157</v>
      </c>
      <c r="F22" s="237">
        <v>400</v>
      </c>
      <c r="G22" s="398"/>
      <c r="H22" s="72">
        <f t="shared" si="4"/>
        <v>400</v>
      </c>
      <c r="I22" s="364">
        <f>249.1+32.5</f>
        <v>281.60000000000002</v>
      </c>
      <c r="J22" s="34">
        <f t="shared" si="5"/>
        <v>70.400000000000006</v>
      </c>
      <c r="K22" s="72">
        <f>564.3+87.9</f>
        <v>652.19999999999993</v>
      </c>
      <c r="L22" s="363">
        <f t="shared" si="3"/>
        <v>163.04999999999998</v>
      </c>
      <c r="M22" s="186"/>
    </row>
    <row r="23" spans="1:15" x14ac:dyDescent="0.2">
      <c r="A23" s="106"/>
      <c r="B23" s="29">
        <v>1361</v>
      </c>
      <c r="C23" s="362"/>
      <c r="D23" s="29">
        <v>35</v>
      </c>
      <c r="E23" s="29" t="s">
        <v>228</v>
      </c>
      <c r="F23" s="237">
        <v>35</v>
      </c>
      <c r="G23" s="399"/>
      <c r="H23" s="72">
        <f t="shared" si="4"/>
        <v>35</v>
      </c>
      <c r="I23" s="364">
        <v>8.26</v>
      </c>
      <c r="J23" s="34">
        <f t="shared" si="5"/>
        <v>23.599999999999998</v>
      </c>
      <c r="K23" s="72">
        <v>11.96</v>
      </c>
      <c r="L23" s="363">
        <f t="shared" si="3"/>
        <v>34.171428571428578</v>
      </c>
      <c r="M23" s="183"/>
    </row>
    <row r="24" spans="1:15" x14ac:dyDescent="0.2">
      <c r="A24" s="106"/>
      <c r="B24" s="29">
        <v>1361</v>
      </c>
      <c r="C24" s="362"/>
      <c r="D24" s="29">
        <v>40</v>
      </c>
      <c r="E24" s="29" t="s">
        <v>31</v>
      </c>
      <c r="F24" s="237">
        <v>0</v>
      </c>
      <c r="G24" s="399"/>
      <c r="H24" s="72">
        <f t="shared" si="4"/>
        <v>0</v>
      </c>
      <c r="I24" s="364">
        <v>2.5</v>
      </c>
      <c r="J24" s="34"/>
      <c r="K24" s="72">
        <v>5</v>
      </c>
      <c r="L24" s="363"/>
      <c r="M24" s="352"/>
    </row>
    <row r="25" spans="1:15" x14ac:dyDescent="0.2">
      <c r="A25" s="106"/>
      <c r="B25" s="29">
        <v>1361</v>
      </c>
      <c r="C25" s="362"/>
      <c r="D25" s="108" t="s">
        <v>538</v>
      </c>
      <c r="E25" s="29" t="s">
        <v>121</v>
      </c>
      <c r="F25" s="364"/>
      <c r="G25" s="399"/>
      <c r="H25" s="72">
        <f t="shared" si="4"/>
        <v>0</v>
      </c>
      <c r="I25" s="364">
        <v>1.2</v>
      </c>
      <c r="J25" s="34"/>
      <c r="K25" s="72">
        <v>2</v>
      </c>
      <c r="L25" s="363"/>
      <c r="M25" s="183"/>
    </row>
    <row r="26" spans="1:15" x14ac:dyDescent="0.2">
      <c r="A26" s="106"/>
      <c r="B26" s="106"/>
      <c r="C26" s="362"/>
      <c r="D26" s="106"/>
      <c r="E26" s="32" t="s">
        <v>255</v>
      </c>
      <c r="F26" s="73">
        <f>SUM(F27:F28)</f>
        <v>3500</v>
      </c>
      <c r="G26" s="397">
        <f>SUM(G27:G28)</f>
        <v>0</v>
      </c>
      <c r="H26" s="73">
        <f>SUM(H27:H28)</f>
        <v>3500</v>
      </c>
      <c r="I26" s="73">
        <f>SUM(I27:I28)</f>
        <v>1781.3055499999998</v>
      </c>
      <c r="J26" s="159">
        <f>I26/$H26*100</f>
        <v>50.894444285714279</v>
      </c>
      <c r="K26" s="73">
        <f>SUM(K27:K28)</f>
        <v>3748.03226</v>
      </c>
      <c r="L26" s="159">
        <f t="shared" si="3"/>
        <v>107.08663599999998</v>
      </c>
      <c r="M26" s="108"/>
      <c r="N26" s="113"/>
      <c r="O26" s="525"/>
    </row>
    <row r="27" spans="1:15" x14ac:dyDescent="0.2">
      <c r="A27" s="106"/>
      <c r="B27" s="29">
        <v>1332.1333999999999</v>
      </c>
      <c r="C27" s="362"/>
      <c r="D27" s="29">
        <v>23.12</v>
      </c>
      <c r="E27" s="29" t="s">
        <v>362</v>
      </c>
      <c r="F27" s="364">
        <v>0</v>
      </c>
      <c r="G27" s="399"/>
      <c r="H27" s="72">
        <f>SUM(F27:G27)</f>
        <v>0</v>
      </c>
      <c r="I27" s="364"/>
      <c r="J27" s="34"/>
      <c r="K27" s="72"/>
      <c r="L27" s="363"/>
      <c r="M27" s="183"/>
    </row>
    <row r="28" spans="1:15" x14ac:dyDescent="0.2">
      <c r="A28" s="106"/>
      <c r="B28" s="29">
        <v>1381</v>
      </c>
      <c r="C28" s="362"/>
      <c r="D28" s="29">
        <v>401</v>
      </c>
      <c r="E28" s="29" t="s">
        <v>328</v>
      </c>
      <c r="F28" s="364">
        <v>3500</v>
      </c>
      <c r="G28" s="398"/>
      <c r="H28" s="72">
        <f>SUM(F28:G28)</f>
        <v>3500</v>
      </c>
      <c r="I28" s="364">
        <f>203.67925+1577.6263</f>
        <v>1781.3055499999998</v>
      </c>
      <c r="J28" s="34">
        <f>I28/$H28*100</f>
        <v>50.894444285714279</v>
      </c>
      <c r="K28" s="72">
        <f>390.25379+3357.77847</f>
        <v>3748.03226</v>
      </c>
      <c r="L28" s="363">
        <f t="shared" ref="L28:L36" si="6">K28/$H28*100</f>
        <v>107.08663599999998</v>
      </c>
      <c r="M28" s="183"/>
    </row>
    <row r="29" spans="1:15" x14ac:dyDescent="0.2">
      <c r="A29" s="106"/>
      <c r="B29" s="106"/>
      <c r="C29" s="362"/>
      <c r="D29" s="106"/>
      <c r="E29" s="32" t="s">
        <v>173</v>
      </c>
      <c r="F29" s="73">
        <f>SUM(F30:F34)</f>
        <v>3485</v>
      </c>
      <c r="G29" s="397">
        <f>SUM(G30:G34)</f>
        <v>0</v>
      </c>
      <c r="H29" s="73">
        <f>SUM(H30:H34)</f>
        <v>3485</v>
      </c>
      <c r="I29" s="73">
        <f>SUM(I30:I34)</f>
        <v>1555.9430900000002</v>
      </c>
      <c r="J29" s="159">
        <f t="shared" si="5"/>
        <v>44.646860545193697</v>
      </c>
      <c r="K29" s="73">
        <f>SUM(K30:K34)</f>
        <v>2767.4180899999997</v>
      </c>
      <c r="L29" s="159">
        <f t="shared" si="6"/>
        <v>79.409414347202286</v>
      </c>
      <c r="M29" s="224"/>
    </row>
    <row r="30" spans="1:15" x14ac:dyDescent="0.2">
      <c r="A30" s="106"/>
      <c r="B30" s="29">
        <v>1345</v>
      </c>
      <c r="C30" s="362"/>
      <c r="D30" s="29">
        <v>240</v>
      </c>
      <c r="E30" s="29" t="s">
        <v>123</v>
      </c>
      <c r="F30" s="237">
        <v>3200</v>
      </c>
      <c r="G30" s="399"/>
      <c r="H30" s="72">
        <f>SUM(F30:G30)</f>
        <v>3200</v>
      </c>
      <c r="I30" s="364">
        <v>1465.38077</v>
      </c>
      <c r="J30" s="34">
        <f>I30/$H30*100</f>
        <v>45.7931490625</v>
      </c>
      <c r="K30" s="72">
        <v>2606.73747</v>
      </c>
      <c r="L30" s="363">
        <f t="shared" si="6"/>
        <v>81.460545937500001</v>
      </c>
      <c r="M30" s="108" t="s">
        <v>261</v>
      </c>
    </row>
    <row r="31" spans="1:15" x14ac:dyDescent="0.2">
      <c r="A31" s="106"/>
      <c r="B31" s="29">
        <v>1341</v>
      </c>
      <c r="C31" s="362"/>
      <c r="D31" s="29">
        <v>5</v>
      </c>
      <c r="E31" s="29" t="s">
        <v>127</v>
      </c>
      <c r="F31" s="237">
        <v>105</v>
      </c>
      <c r="G31" s="399"/>
      <c r="H31" s="72">
        <f>SUM(F31:G31)</f>
        <v>105</v>
      </c>
      <c r="I31" s="364">
        <v>69.308679999999995</v>
      </c>
      <c r="J31" s="34">
        <f>I31/$H31*100</f>
        <v>66.008266666666657</v>
      </c>
      <c r="K31" s="72">
        <v>93.258340000000004</v>
      </c>
      <c r="L31" s="363">
        <f t="shared" si="6"/>
        <v>88.817466666666661</v>
      </c>
      <c r="M31" s="108"/>
    </row>
    <row r="32" spans="1:15" x14ac:dyDescent="0.2">
      <c r="A32" s="106"/>
      <c r="B32" s="29">
        <v>1342</v>
      </c>
      <c r="C32" s="362"/>
      <c r="D32" s="29">
        <v>9</v>
      </c>
      <c r="E32" s="29" t="s">
        <v>354</v>
      </c>
      <c r="F32" s="237">
        <v>90</v>
      </c>
      <c r="G32" s="399"/>
      <c r="H32" s="72">
        <f>SUM(F32:G32)</f>
        <v>90</v>
      </c>
      <c r="I32" s="364"/>
      <c r="J32" s="34"/>
      <c r="K32" s="72">
        <v>11.79</v>
      </c>
      <c r="L32" s="363">
        <f>K32/$H32*100</f>
        <v>13.099999999999998</v>
      </c>
      <c r="M32" s="108"/>
    </row>
    <row r="33" spans="1:15" x14ac:dyDescent="0.2">
      <c r="A33" s="106"/>
      <c r="B33" s="29">
        <v>1343</v>
      </c>
      <c r="C33" s="362"/>
      <c r="D33" s="29">
        <v>30</v>
      </c>
      <c r="E33" s="29" t="s">
        <v>128</v>
      </c>
      <c r="F33" s="237">
        <v>90</v>
      </c>
      <c r="G33" s="399"/>
      <c r="H33" s="72">
        <f>SUM(F33:G33)</f>
        <v>90</v>
      </c>
      <c r="I33" s="364">
        <v>10.55364</v>
      </c>
      <c r="J33" s="34">
        <f>I33/$H33*100</f>
        <v>11.726266666666668</v>
      </c>
      <c r="K33" s="72">
        <v>35.932279999999999</v>
      </c>
      <c r="L33" s="363">
        <f>K33/$H33*100</f>
        <v>39.924755555555549</v>
      </c>
      <c r="M33" s="108" t="s">
        <v>424</v>
      </c>
    </row>
    <row r="34" spans="1:15" x14ac:dyDescent="0.2">
      <c r="A34" s="106"/>
      <c r="B34" s="29">
        <v>1349</v>
      </c>
      <c r="C34" s="362"/>
      <c r="D34" s="29">
        <v>31</v>
      </c>
      <c r="E34" s="29" t="s">
        <v>459</v>
      </c>
      <c r="F34" s="72">
        <v>0</v>
      </c>
      <c r="G34" s="399"/>
      <c r="H34" s="72">
        <f>SUM(F34:G34)</f>
        <v>0</v>
      </c>
      <c r="I34" s="364">
        <f>1.7+9</f>
        <v>10.7</v>
      </c>
      <c r="J34" s="34"/>
      <c r="K34" s="72">
        <f>1.7+18</f>
        <v>19.7</v>
      </c>
      <c r="L34" s="363"/>
      <c r="M34" s="108"/>
    </row>
    <row r="35" spans="1:15" x14ac:dyDescent="0.2">
      <c r="A35" s="95" t="s">
        <v>32</v>
      </c>
      <c r="B35" s="32"/>
      <c r="C35" s="32"/>
      <c r="D35" s="32"/>
      <c r="E35" s="32"/>
      <c r="F35" s="73">
        <f>SUM(F36)</f>
        <v>4200</v>
      </c>
      <c r="G35" s="397">
        <f>SUM(G36)</f>
        <v>0</v>
      </c>
      <c r="H35" s="73">
        <f>SUM(H36:H36)</f>
        <v>4200</v>
      </c>
      <c r="I35" s="73">
        <f>SUM(I36)</f>
        <v>106.58457</v>
      </c>
      <c r="J35" s="159">
        <f t="shared" si="5"/>
        <v>2.537727857142857</v>
      </c>
      <c r="K35" s="73">
        <f>SUM(K36)</f>
        <v>2810.3253599999998</v>
      </c>
      <c r="L35" s="159">
        <f t="shared" si="6"/>
        <v>66.91250857142856</v>
      </c>
      <c r="M35" s="184"/>
    </row>
    <row r="36" spans="1:15" ht="13.5" thickBot="1" x14ac:dyDescent="0.25">
      <c r="A36" s="106"/>
      <c r="B36" s="29">
        <v>1511</v>
      </c>
      <c r="C36" s="362" t="s">
        <v>33</v>
      </c>
      <c r="D36" s="106"/>
      <c r="E36" s="29" t="s">
        <v>196</v>
      </c>
      <c r="F36" s="72">
        <v>4200</v>
      </c>
      <c r="G36" s="399"/>
      <c r="H36" s="72">
        <f>SUM(F36:G36)</f>
        <v>4200</v>
      </c>
      <c r="I36" s="364">
        <v>106.58457</v>
      </c>
      <c r="J36" s="34">
        <f t="shared" si="5"/>
        <v>2.537727857142857</v>
      </c>
      <c r="K36" s="72">
        <v>2810.3253599999998</v>
      </c>
      <c r="L36" s="363">
        <f t="shared" si="6"/>
        <v>66.91250857142856</v>
      </c>
      <c r="M36" s="108"/>
      <c r="N36" s="235"/>
    </row>
    <row r="37" spans="1:15" ht="18" customHeight="1" thickBot="1" x14ac:dyDescent="0.3">
      <c r="A37" s="111" t="s">
        <v>34</v>
      </c>
      <c r="B37" s="112"/>
      <c r="C37" s="112"/>
      <c r="D37" s="112"/>
      <c r="E37" s="111"/>
      <c r="F37" s="74">
        <f>SUM(F5+F14+F26+F29+F35)</f>
        <v>103445</v>
      </c>
      <c r="G37" s="74">
        <f>SUM(G5+G14+G26+G29+G35)</f>
        <v>196</v>
      </c>
      <c r="H37" s="74">
        <f>SUM(H5+H14+H26+H29+H35)</f>
        <v>103641</v>
      </c>
      <c r="I37" s="74">
        <f>SUM(I5+I14+I26+I29+I35)</f>
        <v>32785.465900000003</v>
      </c>
      <c r="J37" s="37">
        <f>I37/$H37*100</f>
        <v>31.63368348433535</v>
      </c>
      <c r="K37" s="74">
        <f>SUM(K5+K14+K26+K29+K35)</f>
        <v>62314.661700000004</v>
      </c>
      <c r="L37" s="37">
        <f>K37/$H37*100</f>
        <v>60.125492517440016</v>
      </c>
      <c r="M37" s="74"/>
      <c r="N37" s="113"/>
      <c r="O37" s="525"/>
    </row>
    <row r="38" spans="1:15" x14ac:dyDescent="0.2">
      <c r="A38" s="107"/>
      <c r="B38" s="77"/>
      <c r="C38" s="77"/>
      <c r="D38" s="77"/>
      <c r="E38" s="107" t="s">
        <v>35</v>
      </c>
      <c r="F38" s="76"/>
      <c r="G38" s="76"/>
      <c r="H38" s="76"/>
      <c r="I38" s="76"/>
      <c r="J38" s="38"/>
      <c r="K38" s="76"/>
      <c r="L38" s="38"/>
      <c r="M38" s="185"/>
    </row>
    <row r="39" spans="1:15" x14ac:dyDescent="0.2">
      <c r="A39" s="95" t="s">
        <v>36</v>
      </c>
      <c r="B39" s="32"/>
      <c r="C39" s="32"/>
      <c r="D39" s="32"/>
      <c r="E39" s="32"/>
      <c r="F39" s="73"/>
      <c r="G39" s="73"/>
      <c r="H39" s="73"/>
      <c r="I39" s="73"/>
      <c r="J39" s="34"/>
      <c r="K39" s="73"/>
      <c r="L39" s="363"/>
      <c r="M39" s="184"/>
    </row>
    <row r="40" spans="1:15" x14ac:dyDescent="0.2">
      <c r="A40" s="106"/>
      <c r="B40" s="32"/>
      <c r="C40" s="362"/>
      <c r="D40" s="32"/>
      <c r="E40" s="32" t="s">
        <v>171</v>
      </c>
      <c r="F40" s="73">
        <f>SUM(F41:F60)</f>
        <v>12224</v>
      </c>
      <c r="G40" s="397">
        <f>SUM(G41:G60)</f>
        <v>0</v>
      </c>
      <c r="H40" s="73">
        <f>SUM(H41:H60)</f>
        <v>12224</v>
      </c>
      <c r="I40" s="73">
        <f>SUM(I41:I60)</f>
        <v>3611.4389799999994</v>
      </c>
      <c r="J40" s="159">
        <f t="shared" ref="J40:J74" si="7">I40/$H40*100</f>
        <v>29.543839823298423</v>
      </c>
      <c r="K40" s="73">
        <f>SUM(K41:K60)</f>
        <v>6258.3562699999993</v>
      </c>
      <c r="L40" s="159">
        <f t="shared" ref="L40:L59" si="8">K40/$H40*100</f>
        <v>51.197286240183239</v>
      </c>
      <c r="M40" s="108"/>
      <c r="N40" s="113" t="s">
        <v>248</v>
      </c>
    </row>
    <row r="41" spans="1:15" x14ac:dyDescent="0.2">
      <c r="A41" s="106"/>
      <c r="B41" s="29">
        <v>2111</v>
      </c>
      <c r="C41" s="362">
        <v>1031</v>
      </c>
      <c r="D41" s="29">
        <v>201</v>
      </c>
      <c r="E41" s="29" t="s">
        <v>114</v>
      </c>
      <c r="F41" s="237">
        <v>400</v>
      </c>
      <c r="G41" s="398"/>
      <c r="H41" s="72">
        <f t="shared" ref="H41:H49" si="9">SUM(F41:G41)</f>
        <v>400</v>
      </c>
      <c r="I41" s="364">
        <v>1405.5619999999999</v>
      </c>
      <c r="J41" s="34">
        <f t="shared" si="7"/>
        <v>351.39049999999997</v>
      </c>
      <c r="K41" s="72">
        <v>1441.4511399999999</v>
      </c>
      <c r="L41" s="363">
        <f t="shared" si="8"/>
        <v>360.36278499999997</v>
      </c>
      <c r="M41" s="108" t="s">
        <v>565</v>
      </c>
      <c r="N41" s="323">
        <v>70</v>
      </c>
    </row>
    <row r="42" spans="1:15" x14ac:dyDescent="0.2">
      <c r="A42" s="106"/>
      <c r="B42" s="29">
        <v>2111</v>
      </c>
      <c r="C42" s="362">
        <v>2219</v>
      </c>
      <c r="D42" s="29">
        <v>43</v>
      </c>
      <c r="E42" s="29" t="s">
        <v>194</v>
      </c>
      <c r="F42" s="237">
        <v>1000</v>
      </c>
      <c r="G42" s="398"/>
      <c r="H42" s="72">
        <f t="shared" si="9"/>
        <v>1000</v>
      </c>
      <c r="I42" s="364">
        <v>240.637</v>
      </c>
      <c r="J42" s="34">
        <f t="shared" si="7"/>
        <v>24.063699999999997</v>
      </c>
      <c r="K42" s="72">
        <v>482.86500000000001</v>
      </c>
      <c r="L42" s="363">
        <f t="shared" si="8"/>
        <v>48.286499999999997</v>
      </c>
      <c r="M42" s="108"/>
      <c r="N42" s="113"/>
    </row>
    <row r="43" spans="1:15" x14ac:dyDescent="0.2">
      <c r="A43" s="106"/>
      <c r="B43" s="29">
        <v>2111</v>
      </c>
      <c r="C43" s="362">
        <v>3113</v>
      </c>
      <c r="D43" s="29">
        <v>302</v>
      </c>
      <c r="E43" s="29" t="s">
        <v>318</v>
      </c>
      <c r="F43" s="237">
        <v>272</v>
      </c>
      <c r="G43" s="399"/>
      <c r="H43" s="72">
        <f t="shared" si="9"/>
        <v>272</v>
      </c>
      <c r="I43" s="364">
        <v>78.45675</v>
      </c>
      <c r="J43" s="34">
        <f t="shared" si="7"/>
        <v>28.844393382352941</v>
      </c>
      <c r="K43" s="72">
        <v>156.9135</v>
      </c>
      <c r="L43" s="363">
        <f t="shared" si="8"/>
        <v>57.688786764705881</v>
      </c>
      <c r="M43" s="108"/>
      <c r="N43" s="113"/>
    </row>
    <row r="44" spans="1:15" s="328" customFormat="1" x14ac:dyDescent="0.2">
      <c r="A44" s="106"/>
      <c r="B44" s="29">
        <v>2111</v>
      </c>
      <c r="C44" s="362">
        <v>3141</v>
      </c>
      <c r="D44" s="29">
        <v>309</v>
      </c>
      <c r="E44" s="29" t="s">
        <v>384</v>
      </c>
      <c r="F44" s="237">
        <v>1950</v>
      </c>
      <c r="G44" s="399"/>
      <c r="H44" s="72">
        <f t="shared" si="9"/>
        <v>1950</v>
      </c>
      <c r="I44" s="364">
        <f>855.44388+11.70111</f>
        <v>867.14499000000001</v>
      </c>
      <c r="J44" s="34">
        <f t="shared" si="7"/>
        <v>44.468973846153844</v>
      </c>
      <c r="K44" s="72">
        <v>1571.9768099999999</v>
      </c>
      <c r="L44" s="363">
        <f t="shared" si="8"/>
        <v>80.614195384615385</v>
      </c>
      <c r="M44" s="108"/>
      <c r="N44" s="113"/>
    </row>
    <row r="45" spans="1:15" x14ac:dyDescent="0.2">
      <c r="A45" s="106"/>
      <c r="B45" s="29">
        <v>2111</v>
      </c>
      <c r="C45" s="362">
        <v>3613</v>
      </c>
      <c r="D45" s="29">
        <v>316</v>
      </c>
      <c r="E45" s="29" t="s">
        <v>320</v>
      </c>
      <c r="F45" s="237">
        <v>125</v>
      </c>
      <c r="G45" s="399"/>
      <c r="H45" s="72">
        <f t="shared" si="9"/>
        <v>125</v>
      </c>
      <c r="I45" s="364">
        <f>30.374+1.57293</f>
        <v>31.946929999999998</v>
      </c>
      <c r="J45" s="34">
        <f t="shared" si="7"/>
        <v>25.557544</v>
      </c>
      <c r="K45" s="72">
        <f>51.992+4.59071</f>
        <v>56.582709999999999</v>
      </c>
      <c r="L45" s="363">
        <f t="shared" si="8"/>
        <v>45.266168</v>
      </c>
      <c r="M45" s="108"/>
      <c r="N45" s="113"/>
    </row>
    <row r="46" spans="1:15" x14ac:dyDescent="0.2">
      <c r="A46" s="106"/>
      <c r="B46" s="29">
        <v>2111</v>
      </c>
      <c r="C46" s="362">
        <v>3412</v>
      </c>
      <c r="D46" s="29">
        <v>216</v>
      </c>
      <c r="E46" s="29" t="s">
        <v>332</v>
      </c>
      <c r="F46" s="237">
        <v>126</v>
      </c>
      <c r="G46" s="399"/>
      <c r="H46" s="72">
        <f t="shared" si="9"/>
        <v>126</v>
      </c>
      <c r="I46" s="364">
        <v>36.841560000000001</v>
      </c>
      <c r="J46" s="34">
        <f t="shared" si="7"/>
        <v>29.239333333333335</v>
      </c>
      <c r="K46" s="72">
        <v>52.093229999999998</v>
      </c>
      <c r="L46" s="363">
        <f t="shared" si="8"/>
        <v>41.343833333333329</v>
      </c>
      <c r="M46" s="108"/>
      <c r="N46" s="113"/>
    </row>
    <row r="47" spans="1:15" x14ac:dyDescent="0.2">
      <c r="A47" s="106"/>
      <c r="B47" s="29">
        <v>2111</v>
      </c>
      <c r="C47" s="553" t="s">
        <v>269</v>
      </c>
      <c r="D47" s="29">
        <v>41</v>
      </c>
      <c r="E47" s="29" t="s">
        <v>40</v>
      </c>
      <c r="F47" s="237">
        <v>55</v>
      </c>
      <c r="G47" s="399"/>
      <c r="H47" s="72">
        <f t="shared" si="9"/>
        <v>55</v>
      </c>
      <c r="I47" s="364">
        <v>22.14</v>
      </c>
      <c r="J47" s="34">
        <f t="shared" si="7"/>
        <v>40.25454545454545</v>
      </c>
      <c r="K47" s="72">
        <v>35.340000000000003</v>
      </c>
      <c r="L47" s="363">
        <f t="shared" si="8"/>
        <v>64.254545454545465</v>
      </c>
      <c r="M47" s="349"/>
      <c r="N47" s="323">
        <v>10</v>
      </c>
    </row>
    <row r="48" spans="1:15" x14ac:dyDescent="0.2">
      <c r="A48" s="106"/>
      <c r="B48" s="29">
        <v>2111</v>
      </c>
      <c r="C48" s="362">
        <v>3349</v>
      </c>
      <c r="D48" s="29">
        <v>42</v>
      </c>
      <c r="E48" s="29" t="s">
        <v>37</v>
      </c>
      <c r="F48" s="237">
        <v>80</v>
      </c>
      <c r="G48" s="399"/>
      <c r="H48" s="72">
        <f t="shared" si="9"/>
        <v>80</v>
      </c>
      <c r="I48" s="364">
        <v>21.294</v>
      </c>
      <c r="J48" s="34">
        <f t="shared" si="7"/>
        <v>26.6175</v>
      </c>
      <c r="K48" s="72">
        <v>47.701999999999998</v>
      </c>
      <c r="L48" s="363">
        <f t="shared" si="8"/>
        <v>59.627499999999998</v>
      </c>
      <c r="M48" s="349"/>
      <c r="N48" s="323">
        <v>14</v>
      </c>
    </row>
    <row r="49" spans="1:14" s="366" customFormat="1" x14ac:dyDescent="0.2">
      <c r="A49" s="517"/>
      <c r="B49" s="518">
        <v>2111</v>
      </c>
      <c r="C49" s="518">
        <v>2144</v>
      </c>
      <c r="D49" s="518">
        <v>650</v>
      </c>
      <c r="E49" s="518" t="s">
        <v>525</v>
      </c>
      <c r="F49" s="237">
        <v>250</v>
      </c>
      <c r="G49" s="399"/>
      <c r="H49" s="364">
        <f t="shared" si="9"/>
        <v>250</v>
      </c>
      <c r="I49" s="364"/>
      <c r="J49" s="363">
        <f t="shared" ref="J49" si="10">I49/$H49*100</f>
        <v>0</v>
      </c>
      <c r="K49" s="364"/>
      <c r="L49" s="363">
        <f t="shared" ref="L49" si="11">K49/$H49*100</f>
        <v>0</v>
      </c>
      <c r="M49" s="369"/>
      <c r="N49" s="368"/>
    </row>
    <row r="50" spans="1:14" x14ac:dyDescent="0.2">
      <c r="A50" s="106"/>
      <c r="B50" s="29">
        <v>2111</v>
      </c>
      <c r="C50" s="362">
        <v>3612</v>
      </c>
      <c r="D50" s="29" t="s">
        <v>280</v>
      </c>
      <c r="E50" s="29" t="s">
        <v>197</v>
      </c>
      <c r="F50" s="237">
        <f>1150+800</f>
        <v>1950</v>
      </c>
      <c r="G50" s="399"/>
      <c r="H50" s="72">
        <f t="shared" ref="H50:H60" si="12">SUM(F50:G50)</f>
        <v>1950</v>
      </c>
      <c r="I50" s="364">
        <f>91.718-3.388+36.796</f>
        <v>125.126</v>
      </c>
      <c r="J50" s="34">
        <f t="shared" si="7"/>
        <v>6.4167179487179498</v>
      </c>
      <c r="K50" s="72">
        <f>337.638+4.934+280.165</f>
        <v>622.73700000000008</v>
      </c>
      <c r="L50" s="363">
        <f t="shared" si="8"/>
        <v>31.93523076923077</v>
      </c>
      <c r="M50" s="119"/>
      <c r="N50" s="113"/>
    </row>
    <row r="51" spans="1:14" x14ac:dyDescent="0.2">
      <c r="A51" s="106"/>
      <c r="B51" s="29">
        <v>2111</v>
      </c>
      <c r="C51" s="362">
        <v>3613</v>
      </c>
      <c r="D51" s="29">
        <v>703</v>
      </c>
      <c r="E51" s="29" t="s">
        <v>198</v>
      </c>
      <c r="F51" s="237">
        <v>200</v>
      </c>
      <c r="G51" s="399"/>
      <c r="H51" s="72">
        <f t="shared" si="12"/>
        <v>200</v>
      </c>
      <c r="I51" s="364">
        <f>-48.188</f>
        <v>-48.188000000000002</v>
      </c>
      <c r="J51" s="34">
        <f t="shared" si="7"/>
        <v>-24.094000000000001</v>
      </c>
      <c r="K51" s="72">
        <v>46.856999999999999</v>
      </c>
      <c r="L51" s="363">
        <f t="shared" si="8"/>
        <v>23.4285</v>
      </c>
      <c r="M51" s="359"/>
      <c r="N51" s="113"/>
    </row>
    <row r="52" spans="1:14" x14ac:dyDescent="0.2">
      <c r="A52" s="106"/>
      <c r="B52" s="29">
        <v>2111</v>
      </c>
      <c r="C52" s="362">
        <v>3632</v>
      </c>
      <c r="D52" s="29">
        <v>238</v>
      </c>
      <c r="E52" s="29" t="s">
        <v>38</v>
      </c>
      <c r="F52" s="237">
        <v>278</v>
      </c>
      <c r="G52" s="399"/>
      <c r="H52" s="72">
        <f t="shared" si="12"/>
        <v>278</v>
      </c>
      <c r="I52" s="364"/>
      <c r="J52" s="34">
        <f t="shared" si="7"/>
        <v>0</v>
      </c>
      <c r="K52" s="72">
        <v>45.95</v>
      </c>
      <c r="L52" s="363">
        <f t="shared" si="8"/>
        <v>16.528776978417266</v>
      </c>
      <c r="N52" s="113"/>
    </row>
    <row r="53" spans="1:14" x14ac:dyDescent="0.2">
      <c r="A53" s="106"/>
      <c r="B53" s="29">
        <v>2111</v>
      </c>
      <c r="C53" s="362">
        <v>3639</v>
      </c>
      <c r="D53" s="29">
        <v>21.318999999999999</v>
      </c>
      <c r="E53" s="29" t="s">
        <v>256</v>
      </c>
      <c r="F53" s="237">
        <f>10+96</f>
        <v>106</v>
      </c>
      <c r="G53" s="399"/>
      <c r="H53" s="72">
        <f t="shared" si="12"/>
        <v>106</v>
      </c>
      <c r="I53" s="364">
        <v>42.564</v>
      </c>
      <c r="J53" s="34">
        <f t="shared" si="7"/>
        <v>40.154716981132076</v>
      </c>
      <c r="K53" s="72">
        <f>71.595+10.5</f>
        <v>82.094999999999999</v>
      </c>
      <c r="L53" s="363">
        <f t="shared" si="8"/>
        <v>77.448113207547166</v>
      </c>
      <c r="N53" s="323">
        <v>5</v>
      </c>
    </row>
    <row r="54" spans="1:14" x14ac:dyDescent="0.2">
      <c r="A54" s="106"/>
      <c r="B54" s="29">
        <v>2111.2323999999999</v>
      </c>
      <c r="C54" s="362">
        <v>3639</v>
      </c>
      <c r="D54" s="29">
        <v>239.22300000000001</v>
      </c>
      <c r="E54" s="29" t="s">
        <v>380</v>
      </c>
      <c r="F54" s="237">
        <v>20</v>
      </c>
      <c r="G54" s="399"/>
      <c r="H54" s="72">
        <f t="shared" si="12"/>
        <v>20</v>
      </c>
      <c r="I54" s="364">
        <v>3.2465099999999998</v>
      </c>
      <c r="J54" s="34">
        <f t="shared" si="7"/>
        <v>16.23255</v>
      </c>
      <c r="K54" s="72">
        <f>5+4.71375</f>
        <v>9.713750000000001</v>
      </c>
      <c r="L54" s="363">
        <f t="shared" si="8"/>
        <v>48.568750000000009</v>
      </c>
      <c r="M54" s="108"/>
      <c r="N54" s="113"/>
    </row>
    <row r="55" spans="1:14" x14ac:dyDescent="0.2">
      <c r="A55" s="106"/>
      <c r="B55" s="29">
        <v>2111</v>
      </c>
      <c r="C55" s="362">
        <v>3639</v>
      </c>
      <c r="D55" s="29">
        <v>243</v>
      </c>
      <c r="E55" s="29" t="s">
        <v>112</v>
      </c>
      <c r="F55" s="237">
        <v>40</v>
      </c>
      <c r="G55" s="400"/>
      <c r="H55" s="72">
        <f t="shared" si="12"/>
        <v>40</v>
      </c>
      <c r="I55" s="364">
        <v>8.3849999999999998</v>
      </c>
      <c r="J55" s="34">
        <f t="shared" si="7"/>
        <v>20.962500000000002</v>
      </c>
      <c r="K55" s="72">
        <v>22.57</v>
      </c>
      <c r="L55" s="363">
        <f t="shared" si="8"/>
        <v>56.425000000000004</v>
      </c>
      <c r="M55" s="358"/>
      <c r="N55" s="323">
        <v>8</v>
      </c>
    </row>
    <row r="56" spans="1:14" x14ac:dyDescent="0.2">
      <c r="A56" s="106"/>
      <c r="B56" s="29">
        <v>2111</v>
      </c>
      <c r="C56" s="362">
        <v>4351</v>
      </c>
      <c r="D56" s="29">
        <v>227</v>
      </c>
      <c r="E56" s="29" t="s">
        <v>170</v>
      </c>
      <c r="F56" s="237">
        <f>110+1000+5+150</f>
        <v>1265</v>
      </c>
      <c r="G56" s="398"/>
      <c r="H56" s="72">
        <f t="shared" si="12"/>
        <v>1265</v>
      </c>
      <c r="I56" s="364">
        <f>240.05+25+1.49037</f>
        <v>266.54037</v>
      </c>
      <c r="J56" s="34">
        <f t="shared" si="7"/>
        <v>21.070384980237154</v>
      </c>
      <c r="K56" s="72">
        <f>527.986+100+9.03809</f>
        <v>637.02409</v>
      </c>
      <c r="L56" s="363">
        <f t="shared" si="8"/>
        <v>50.357635573122529</v>
      </c>
      <c r="M56" s="110"/>
      <c r="N56" s="113"/>
    </row>
    <row r="57" spans="1:14" x14ac:dyDescent="0.2">
      <c r="A57" s="106"/>
      <c r="B57" s="29">
        <v>2111</v>
      </c>
      <c r="C57" s="362">
        <v>6171</v>
      </c>
      <c r="D57" s="29" t="s">
        <v>553</v>
      </c>
      <c r="E57" s="29" t="s">
        <v>199</v>
      </c>
      <c r="F57" s="237">
        <f>50</f>
        <v>50</v>
      </c>
      <c r="G57" s="398"/>
      <c r="H57" s="72">
        <f t="shared" si="12"/>
        <v>50</v>
      </c>
      <c r="I57" s="364">
        <f>0.08+14.887+1.683+0.415+0.0531-0.04999+44.36426</f>
        <v>61.432370000000006</v>
      </c>
      <c r="J57" s="34">
        <f t="shared" si="7"/>
        <v>122.86474000000001</v>
      </c>
      <c r="K57" s="72">
        <f>0.8+14.887+1.003+8.3+63.62334+0.5+0.10679</f>
        <v>89.220129999999997</v>
      </c>
      <c r="L57" s="363">
        <f t="shared" si="8"/>
        <v>178.44025999999999</v>
      </c>
      <c r="M57" s="108"/>
      <c r="N57" s="323">
        <v>9</v>
      </c>
    </row>
    <row r="58" spans="1:14" x14ac:dyDescent="0.2">
      <c r="A58" s="106"/>
      <c r="B58" s="29">
        <v>2119</v>
      </c>
      <c r="C58" s="362">
        <v>2121</v>
      </c>
      <c r="D58" s="29">
        <v>20</v>
      </c>
      <c r="E58" s="29" t="s">
        <v>229</v>
      </c>
      <c r="F58" s="237">
        <v>50</v>
      </c>
      <c r="G58" s="398"/>
      <c r="H58" s="72">
        <f t="shared" si="12"/>
        <v>50</v>
      </c>
      <c r="I58" s="364"/>
      <c r="J58" s="34">
        <f t="shared" si="7"/>
        <v>0</v>
      </c>
      <c r="K58" s="72">
        <v>0.60499999999999998</v>
      </c>
      <c r="L58" s="363">
        <f t="shared" si="8"/>
        <v>1.21</v>
      </c>
      <c r="M58" s="108"/>
      <c r="N58" s="241">
        <v>9</v>
      </c>
    </row>
    <row r="59" spans="1:14" x14ac:dyDescent="0.2">
      <c r="A59" s="106"/>
      <c r="B59" s="29">
        <v>2122</v>
      </c>
      <c r="C59" s="362"/>
      <c r="D59" s="29"/>
      <c r="E59" s="29" t="s">
        <v>239</v>
      </c>
      <c r="F59" s="237">
        <f>888+660+338+66+655</f>
        <v>2607</v>
      </c>
      <c r="G59" s="399"/>
      <c r="H59" s="72">
        <f t="shared" si="12"/>
        <v>2607</v>
      </c>
      <c r="I59" s="364"/>
      <c r="J59" s="34">
        <f t="shared" si="7"/>
        <v>0</v>
      </c>
      <c r="K59" s="72"/>
      <c r="L59" s="363">
        <f t="shared" si="8"/>
        <v>0</v>
      </c>
      <c r="M59" s="357"/>
      <c r="N59" s="113"/>
    </row>
    <row r="60" spans="1:14" x14ac:dyDescent="0.2">
      <c r="A60" s="106"/>
      <c r="B60" s="29">
        <v>2324</v>
      </c>
      <c r="C60" s="362">
        <v>3725</v>
      </c>
      <c r="D60" s="29">
        <v>240</v>
      </c>
      <c r="E60" s="29" t="s">
        <v>139</v>
      </c>
      <c r="F60" s="237">
        <f>1300+100</f>
        <v>1400</v>
      </c>
      <c r="G60" s="399"/>
      <c r="H60" s="72">
        <f t="shared" si="12"/>
        <v>1400</v>
      </c>
      <c r="I60" s="364">
        <f>83.432+364.8775</f>
        <v>448.30950000000001</v>
      </c>
      <c r="J60" s="34">
        <f t="shared" si="7"/>
        <v>32.022107142857145</v>
      </c>
      <c r="K60" s="72">
        <f>88.375+768.28491</f>
        <v>856.65990999999997</v>
      </c>
      <c r="L60" s="363">
        <f>K60/$H60*100</f>
        <v>61.189993571428566</v>
      </c>
      <c r="M60" s="224" t="s">
        <v>546</v>
      </c>
      <c r="N60" s="113"/>
    </row>
    <row r="61" spans="1:14" ht="15" customHeight="1" x14ac:dyDescent="0.2">
      <c r="A61" s="106"/>
      <c r="B61" s="106"/>
      <c r="C61" s="362"/>
      <c r="D61" s="106"/>
      <c r="E61" s="32" t="s">
        <v>41</v>
      </c>
      <c r="F61" s="73">
        <f>SUM(F62:F71)</f>
        <v>14301</v>
      </c>
      <c r="G61" s="397">
        <f>SUM(G62:G71)</f>
        <v>0</v>
      </c>
      <c r="H61" s="73">
        <f>SUM(H62:H71)</f>
        <v>14301</v>
      </c>
      <c r="I61" s="73">
        <f>SUM(I62:I71)</f>
        <v>3582.3433100000002</v>
      </c>
      <c r="J61" s="159">
        <f t="shared" si="7"/>
        <v>25.049600097895251</v>
      </c>
      <c r="K61" s="73">
        <f>SUM(K62:K71)</f>
        <v>6725.5120000000006</v>
      </c>
      <c r="L61" s="159">
        <f t="shared" ref="L61:L89" si="13">K61/$H61*100</f>
        <v>47.028263757779179</v>
      </c>
      <c r="M61" s="108"/>
      <c r="N61" s="113"/>
    </row>
    <row r="62" spans="1:14" x14ac:dyDescent="0.2">
      <c r="A62" s="106"/>
      <c r="B62" s="29">
        <v>2131</v>
      </c>
      <c r="C62" s="362">
        <v>1012</v>
      </c>
      <c r="D62" s="29">
        <v>38</v>
      </c>
      <c r="E62" s="29" t="s">
        <v>208</v>
      </c>
      <c r="F62" s="237">
        <v>497</v>
      </c>
      <c r="G62" s="399"/>
      <c r="H62" s="72">
        <f t="shared" ref="H62:H71" si="14">SUM(F62:G62)</f>
        <v>497</v>
      </c>
      <c r="I62" s="364">
        <v>166.80713</v>
      </c>
      <c r="J62" s="34">
        <f t="shared" si="7"/>
        <v>33.56280281690141</v>
      </c>
      <c r="K62" s="72">
        <v>281.01094000000001</v>
      </c>
      <c r="L62" s="363">
        <f t="shared" si="13"/>
        <v>56.541436619718311</v>
      </c>
      <c r="M62" s="108" t="s">
        <v>363</v>
      </c>
      <c r="N62" s="113"/>
    </row>
    <row r="63" spans="1:14" x14ac:dyDescent="0.2">
      <c r="A63" s="106"/>
      <c r="B63" s="29">
        <v>2132</v>
      </c>
      <c r="C63" s="362">
        <v>2121</v>
      </c>
      <c r="D63" s="29">
        <v>237</v>
      </c>
      <c r="E63" s="29" t="s">
        <v>209</v>
      </c>
      <c r="F63" s="237">
        <v>1435</v>
      </c>
      <c r="G63" s="399"/>
      <c r="H63" s="72">
        <f t="shared" si="14"/>
        <v>1435</v>
      </c>
      <c r="I63" s="364">
        <f>11.04439+361.88973</f>
        <v>372.93412000000001</v>
      </c>
      <c r="J63" s="34">
        <f t="shared" si="7"/>
        <v>25.988440418118469</v>
      </c>
      <c r="K63" s="72">
        <f>23.4188+723.78769</f>
        <v>747.20649000000003</v>
      </c>
      <c r="L63" s="363">
        <f t="shared" ref="L63:L74" si="15">K63/$H63*100</f>
        <v>52.070138675958191</v>
      </c>
      <c r="M63" s="354"/>
      <c r="N63" s="323">
        <f>225+3+4</f>
        <v>232</v>
      </c>
    </row>
    <row r="64" spans="1:14" x14ac:dyDescent="0.2">
      <c r="A64" s="106"/>
      <c r="B64" s="29">
        <v>2132</v>
      </c>
      <c r="C64" s="362">
        <v>3113</v>
      </c>
      <c r="D64" s="29">
        <v>302</v>
      </c>
      <c r="E64" s="29" t="s">
        <v>317</v>
      </c>
      <c r="F64" s="237">
        <v>195</v>
      </c>
      <c r="G64" s="399"/>
      <c r="H64" s="72">
        <f t="shared" si="14"/>
        <v>195</v>
      </c>
      <c r="I64" s="364">
        <v>52.953749999999999</v>
      </c>
      <c r="J64" s="34">
        <f t="shared" si="7"/>
        <v>27.155769230769227</v>
      </c>
      <c r="K64" s="72">
        <v>105.9075</v>
      </c>
      <c r="L64" s="363">
        <f t="shared" si="15"/>
        <v>54.311538461538454</v>
      </c>
      <c r="M64" s="353"/>
      <c r="N64" s="113"/>
    </row>
    <row r="65" spans="1:14" x14ac:dyDescent="0.2">
      <c r="A65" s="106"/>
      <c r="B65" s="29">
        <v>2132</v>
      </c>
      <c r="C65" s="362">
        <v>3613</v>
      </c>
      <c r="D65" s="29">
        <v>316</v>
      </c>
      <c r="E65" s="29" t="s">
        <v>319</v>
      </c>
      <c r="F65" s="237">
        <v>281</v>
      </c>
      <c r="G65" s="399"/>
      <c r="H65" s="72">
        <f t="shared" si="14"/>
        <v>281</v>
      </c>
      <c r="I65" s="364">
        <v>217.73400000000001</v>
      </c>
      <c r="J65" s="34">
        <f t="shared" si="7"/>
        <v>77.485409252669044</v>
      </c>
      <c r="K65" s="72">
        <v>290.303</v>
      </c>
      <c r="L65" s="363">
        <f t="shared" si="15"/>
        <v>103.31067615658363</v>
      </c>
      <c r="M65" s="353"/>
      <c r="N65" s="113"/>
    </row>
    <row r="66" spans="1:14" x14ac:dyDescent="0.2">
      <c r="A66" s="106"/>
      <c r="B66" s="29">
        <v>2132</v>
      </c>
      <c r="C66" s="362">
        <v>3612</v>
      </c>
      <c r="D66" s="29" t="s">
        <v>274</v>
      </c>
      <c r="E66" s="29" t="s">
        <v>169</v>
      </c>
      <c r="F66" s="237">
        <f>2500+1680+4150</f>
        <v>8330</v>
      </c>
      <c r="G66" s="399"/>
      <c r="H66" s="72">
        <f t="shared" si="14"/>
        <v>8330</v>
      </c>
      <c r="I66" s="364">
        <f>619.786+0.025+408.225+944.186+0.024</f>
        <v>1972.2460000000001</v>
      </c>
      <c r="J66" s="34">
        <f t="shared" si="7"/>
        <v>23.676422569027611</v>
      </c>
      <c r="K66" s="72">
        <f>1203.067+0.095+805.335+1857.455+0.03</f>
        <v>3865.9820000000004</v>
      </c>
      <c r="L66" s="363">
        <f t="shared" si="15"/>
        <v>46.41034813925571</v>
      </c>
      <c r="M66" s="353"/>
      <c r="N66" s="113"/>
    </row>
    <row r="67" spans="1:14" x14ac:dyDescent="0.2">
      <c r="A67" s="106"/>
      <c r="B67" s="29">
        <v>2132</v>
      </c>
      <c r="C67" s="362">
        <v>3613</v>
      </c>
      <c r="D67" s="29">
        <v>703</v>
      </c>
      <c r="E67" s="29" t="s">
        <v>42</v>
      </c>
      <c r="F67" s="237">
        <v>620</v>
      </c>
      <c r="G67" s="399"/>
      <c r="H67" s="72">
        <f t="shared" si="14"/>
        <v>620</v>
      </c>
      <c r="I67" s="364">
        <v>152.798</v>
      </c>
      <c r="J67" s="34">
        <f t="shared" si="7"/>
        <v>24.644838709677419</v>
      </c>
      <c r="K67" s="72">
        <v>311.697</v>
      </c>
      <c r="L67" s="363">
        <f t="shared" si="15"/>
        <v>50.273709677419355</v>
      </c>
      <c r="M67" s="355"/>
      <c r="N67" s="113"/>
    </row>
    <row r="68" spans="1:14" ht="13.5" customHeight="1" x14ac:dyDescent="0.2">
      <c r="A68" s="106"/>
      <c r="B68" s="29">
        <v>2132</v>
      </c>
      <c r="C68" s="362">
        <v>3634</v>
      </c>
      <c r="D68" s="29">
        <v>21</v>
      </c>
      <c r="E68" s="29" t="s">
        <v>43</v>
      </c>
      <c r="F68" s="237">
        <f>1235</f>
        <v>1235</v>
      </c>
      <c r="G68" s="399"/>
      <c r="H68" s="72">
        <f t="shared" si="14"/>
        <v>1235</v>
      </c>
      <c r="I68" s="364">
        <v>364.14242000000002</v>
      </c>
      <c r="J68" s="34">
        <f t="shared" si="7"/>
        <v>29.485216194331986</v>
      </c>
      <c r="K68" s="72">
        <v>668.34241999999995</v>
      </c>
      <c r="L68" s="363">
        <f t="shared" si="15"/>
        <v>54.116795141700401</v>
      </c>
      <c r="M68" s="353"/>
      <c r="N68" s="241">
        <v>215</v>
      </c>
    </row>
    <row r="69" spans="1:14" x14ac:dyDescent="0.2">
      <c r="A69" s="106"/>
      <c r="B69" s="29">
        <v>2132</v>
      </c>
      <c r="C69" s="362">
        <v>3639</v>
      </c>
      <c r="D69" s="29">
        <v>21</v>
      </c>
      <c r="E69" s="29" t="s">
        <v>195</v>
      </c>
      <c r="F69" s="237">
        <v>500</v>
      </c>
      <c r="G69" s="399"/>
      <c r="H69" s="72">
        <f t="shared" si="14"/>
        <v>500</v>
      </c>
      <c r="I69" s="237">
        <v>218.08989</v>
      </c>
      <c r="J69" s="34">
        <f t="shared" si="7"/>
        <v>43.617978000000001</v>
      </c>
      <c r="K69" s="72">
        <v>321.81765000000001</v>
      </c>
      <c r="L69" s="363">
        <f t="shared" si="15"/>
        <v>64.363529999999997</v>
      </c>
      <c r="M69" s="353"/>
      <c r="N69" s="323">
        <f>48+22</f>
        <v>70</v>
      </c>
    </row>
    <row r="70" spans="1:14" x14ac:dyDescent="0.2">
      <c r="A70" s="106"/>
      <c r="B70" s="29">
        <v>2132</v>
      </c>
      <c r="C70" s="362">
        <v>3639</v>
      </c>
      <c r="D70" s="29">
        <v>319</v>
      </c>
      <c r="E70" s="29" t="s">
        <v>258</v>
      </c>
      <c r="F70" s="237">
        <v>275</v>
      </c>
      <c r="G70" s="399"/>
      <c r="H70" s="72">
        <f t="shared" si="14"/>
        <v>275</v>
      </c>
      <c r="I70" s="364">
        <v>64.638000000000005</v>
      </c>
      <c r="J70" s="34">
        <f t="shared" si="7"/>
        <v>23.504727272727273</v>
      </c>
      <c r="K70" s="72">
        <v>133.245</v>
      </c>
      <c r="L70" s="363">
        <f t="shared" si="15"/>
        <v>48.452727272727273</v>
      </c>
      <c r="M70" s="353"/>
      <c r="N70" s="241">
        <f>48</f>
        <v>48</v>
      </c>
    </row>
    <row r="71" spans="1:14" x14ac:dyDescent="0.2">
      <c r="A71" s="106"/>
      <c r="B71" s="29">
        <v>2132</v>
      </c>
      <c r="C71" s="362">
        <v>4355</v>
      </c>
      <c r="D71" s="29">
        <v>311</v>
      </c>
      <c r="E71" s="29" t="s">
        <v>436</v>
      </c>
      <c r="F71" s="237">
        <v>933</v>
      </c>
      <c r="G71" s="399"/>
      <c r="H71" s="72">
        <f t="shared" si="14"/>
        <v>933</v>
      </c>
      <c r="I71" s="364"/>
      <c r="J71" s="34">
        <f t="shared" si="7"/>
        <v>0</v>
      </c>
      <c r="K71" s="72"/>
      <c r="L71" s="363">
        <f t="shared" si="15"/>
        <v>0</v>
      </c>
      <c r="M71" s="108"/>
      <c r="N71" s="113"/>
    </row>
    <row r="72" spans="1:14" ht="14.25" customHeight="1" x14ac:dyDescent="0.2">
      <c r="A72" s="106"/>
      <c r="B72" s="106"/>
      <c r="C72" s="362"/>
      <c r="D72" s="106"/>
      <c r="E72" s="32" t="s">
        <v>86</v>
      </c>
      <c r="F72" s="376">
        <f>SUM(F73:F76)</f>
        <v>227</v>
      </c>
      <c r="G72" s="397">
        <f>SUM(G73:G76)</f>
        <v>0</v>
      </c>
      <c r="H72" s="73">
        <f>SUM(H73:H76)</f>
        <v>227</v>
      </c>
      <c r="I72" s="73">
        <f>SUM(I74:I76)</f>
        <v>179.20665</v>
      </c>
      <c r="J72" s="159">
        <f t="shared" si="7"/>
        <v>78.945660792951543</v>
      </c>
      <c r="K72" s="73">
        <f>SUM(K73:K76)</f>
        <v>525.72961000000009</v>
      </c>
      <c r="L72" s="159">
        <f t="shared" si="13"/>
        <v>231.59894713656391</v>
      </c>
      <c r="M72" s="186"/>
    </row>
    <row r="73" spans="1:14" s="340" customFormat="1" ht="14.25" customHeight="1" x14ac:dyDescent="0.2">
      <c r="A73" s="338"/>
      <c r="B73" s="33">
        <v>2141</v>
      </c>
      <c r="C73" s="362">
        <v>3522</v>
      </c>
      <c r="D73" s="338">
        <v>233</v>
      </c>
      <c r="E73" s="33" t="s">
        <v>443</v>
      </c>
      <c r="F73" s="341">
        <v>216</v>
      </c>
      <c r="G73" s="401"/>
      <c r="H73" s="341">
        <f>SUM(F73:G73)</f>
        <v>216</v>
      </c>
      <c r="I73" s="341"/>
      <c r="J73" s="342">
        <f t="shared" si="7"/>
        <v>0</v>
      </c>
      <c r="K73" s="341"/>
      <c r="L73" s="342"/>
      <c r="M73" s="339" t="s">
        <v>442</v>
      </c>
    </row>
    <row r="74" spans="1:14" s="340" customFormat="1" x14ac:dyDescent="0.2">
      <c r="A74" s="338"/>
      <c r="B74" s="33">
        <v>2141</v>
      </c>
      <c r="C74" s="362">
        <v>6310</v>
      </c>
      <c r="D74" s="33">
        <v>314</v>
      </c>
      <c r="E74" s="33" t="s">
        <v>265</v>
      </c>
      <c r="F74" s="341">
        <v>10</v>
      </c>
      <c r="G74" s="401"/>
      <c r="H74" s="341">
        <f>SUM(F74:G74)</f>
        <v>10</v>
      </c>
      <c r="I74" s="341">
        <f>179.10827+0.01458</f>
        <v>179.12285</v>
      </c>
      <c r="J74" s="342">
        <f t="shared" si="7"/>
        <v>1791.2285000000002</v>
      </c>
      <c r="K74" s="341">
        <f>524.187+0.03659</f>
        <v>524.22359000000006</v>
      </c>
      <c r="L74" s="342">
        <f t="shared" si="15"/>
        <v>5242.2359000000006</v>
      </c>
      <c r="M74" s="339"/>
    </row>
    <row r="75" spans="1:14" x14ac:dyDescent="0.2">
      <c r="A75" s="106"/>
      <c r="B75" s="29">
        <v>2143</v>
      </c>
      <c r="C75" s="362"/>
      <c r="D75" s="29"/>
      <c r="E75" s="29" t="s">
        <v>270</v>
      </c>
      <c r="F75" s="237"/>
      <c r="G75" s="399"/>
      <c r="H75" s="72">
        <f>SUM(F75:G75)</f>
        <v>0</v>
      </c>
      <c r="I75" s="364">
        <v>8.3799999999999999E-2</v>
      </c>
      <c r="J75" s="342"/>
      <c r="K75" s="72">
        <v>0.13102</v>
      </c>
      <c r="L75" s="363"/>
      <c r="M75" s="108"/>
    </row>
    <row r="76" spans="1:14" ht="13.5" customHeight="1" x14ac:dyDescent="0.2">
      <c r="A76" s="106"/>
      <c r="B76" s="29">
        <v>2141</v>
      </c>
      <c r="C76" s="362">
        <v>6310</v>
      </c>
      <c r="D76" s="29">
        <v>318</v>
      </c>
      <c r="E76" s="29" t="s">
        <v>467</v>
      </c>
      <c r="F76" s="237">
        <v>1</v>
      </c>
      <c r="G76" s="399"/>
      <c r="H76" s="72">
        <f>SUM(F76:G76)</f>
        <v>1</v>
      </c>
      <c r="I76" s="364"/>
      <c r="J76" s="34">
        <f t="shared" ref="J76:J89" si="16">I76/$H76*100</f>
        <v>0</v>
      </c>
      <c r="K76" s="72">
        <v>1.375</v>
      </c>
      <c r="L76" s="363">
        <f t="shared" si="13"/>
        <v>137.5</v>
      </c>
      <c r="M76" s="108"/>
    </row>
    <row r="77" spans="1:14" x14ac:dyDescent="0.2">
      <c r="A77" s="95" t="s">
        <v>156</v>
      </c>
      <c r="B77" s="32"/>
      <c r="C77" s="32"/>
      <c r="D77" s="32"/>
      <c r="E77" s="32"/>
      <c r="F77" s="73">
        <f>SUM(F78:F85)</f>
        <v>4238</v>
      </c>
      <c r="G77" s="397">
        <f>SUM(G78:G85)</f>
        <v>0</v>
      </c>
      <c r="H77" s="73">
        <f>SUM(H78:H85)</f>
        <v>4238</v>
      </c>
      <c r="I77" s="73">
        <f>SUM(I78:I85)</f>
        <v>276.52159</v>
      </c>
      <c r="J77" s="159">
        <f t="shared" si="16"/>
        <v>6.5248133553562999</v>
      </c>
      <c r="K77" s="73">
        <f>SUM(K78:K85)</f>
        <v>552.29098999999997</v>
      </c>
      <c r="L77" s="159">
        <f t="shared" si="13"/>
        <v>13.031878008494571</v>
      </c>
      <c r="M77" s="184"/>
    </row>
    <row r="78" spans="1:14" x14ac:dyDescent="0.2">
      <c r="A78" s="106"/>
      <c r="B78" s="29">
        <v>2212</v>
      </c>
      <c r="C78" s="362">
        <v>6171</v>
      </c>
      <c r="D78" s="29">
        <v>11</v>
      </c>
      <c r="E78" s="29" t="s">
        <v>161</v>
      </c>
      <c r="F78" s="237">
        <v>3</v>
      </c>
      <c r="G78" s="399"/>
      <c r="H78" s="72">
        <f t="shared" ref="H78:H85" si="17">SUM(F78:G78)</f>
        <v>3</v>
      </c>
      <c r="I78" s="364"/>
      <c r="J78" s="34">
        <f t="shared" si="16"/>
        <v>0</v>
      </c>
      <c r="K78" s="72">
        <v>1.7</v>
      </c>
      <c r="L78" s="363">
        <f t="shared" si="13"/>
        <v>56.666666666666664</v>
      </c>
      <c r="M78" s="356"/>
    </row>
    <row r="79" spans="1:14" x14ac:dyDescent="0.2">
      <c r="B79" s="29">
        <v>2212</v>
      </c>
      <c r="C79" s="362">
        <v>6171</v>
      </c>
      <c r="D79" s="29" t="s">
        <v>460</v>
      </c>
      <c r="E79" s="29" t="s">
        <v>238</v>
      </c>
      <c r="F79" s="237">
        <f>60+5</f>
        <v>65</v>
      </c>
      <c r="G79" s="399"/>
      <c r="H79" s="72">
        <f t="shared" si="17"/>
        <v>65</v>
      </c>
      <c r="I79" s="364">
        <f>43.5+1+1.8</f>
        <v>46.3</v>
      </c>
      <c r="J79" s="34">
        <f t="shared" si="16"/>
        <v>71.230769230769226</v>
      </c>
      <c r="K79" s="72">
        <f>71.64+2.1+3.4</f>
        <v>77.14</v>
      </c>
      <c r="L79" s="363">
        <f t="shared" si="13"/>
        <v>118.67692307692307</v>
      </c>
      <c r="M79" s="108"/>
    </row>
    <row r="80" spans="1:14" x14ac:dyDescent="0.2">
      <c r="A80" s="96"/>
      <c r="B80" s="29">
        <v>2212</v>
      </c>
      <c r="C80" s="362">
        <v>2169</v>
      </c>
      <c r="D80" s="29">
        <v>15</v>
      </c>
      <c r="E80" s="29" t="s">
        <v>186</v>
      </c>
      <c r="F80" s="237">
        <v>50</v>
      </c>
      <c r="G80" s="399"/>
      <c r="H80" s="72">
        <f t="shared" si="17"/>
        <v>50</v>
      </c>
      <c r="I80" s="364">
        <v>18</v>
      </c>
      <c r="J80" s="34">
        <f t="shared" si="16"/>
        <v>36</v>
      </c>
      <c r="K80" s="72">
        <v>39</v>
      </c>
      <c r="L80" s="363">
        <f t="shared" si="13"/>
        <v>78</v>
      </c>
      <c r="M80" s="240"/>
    </row>
    <row r="81" spans="1:14" x14ac:dyDescent="0.2">
      <c r="A81" s="106"/>
      <c r="B81" s="29">
        <v>2212</v>
      </c>
      <c r="C81" s="554" t="s">
        <v>205</v>
      </c>
      <c r="D81" s="29">
        <v>17</v>
      </c>
      <c r="E81" s="29" t="s">
        <v>159</v>
      </c>
      <c r="F81" s="237">
        <v>20</v>
      </c>
      <c r="G81" s="399"/>
      <c r="H81" s="72">
        <f t="shared" si="17"/>
        <v>20</v>
      </c>
      <c r="I81" s="364">
        <v>8</v>
      </c>
      <c r="J81" s="34">
        <f t="shared" si="16"/>
        <v>40</v>
      </c>
      <c r="K81" s="72">
        <v>10.5</v>
      </c>
      <c r="L81" s="363">
        <f t="shared" si="13"/>
        <v>52.5</v>
      </c>
      <c r="M81" s="108"/>
    </row>
    <row r="82" spans="1:14" ht="13.5" customHeight="1" x14ac:dyDescent="0.2">
      <c r="A82" s="106"/>
      <c r="B82" s="29">
        <v>2212</v>
      </c>
      <c r="C82" s="362">
        <v>6171</v>
      </c>
      <c r="D82" s="29" t="s">
        <v>432</v>
      </c>
      <c r="E82" s="29" t="s">
        <v>158</v>
      </c>
      <c r="F82" s="237">
        <v>1000</v>
      </c>
      <c r="G82" s="399"/>
      <c r="H82" s="72">
        <f t="shared" si="17"/>
        <v>1000</v>
      </c>
      <c r="I82" s="364">
        <f>18.5+147.70479</f>
        <v>166.20479</v>
      </c>
      <c r="J82" s="34">
        <f t="shared" si="16"/>
        <v>16.620479</v>
      </c>
      <c r="K82" s="72">
        <f>36.05+353.68399</f>
        <v>389.73399000000001</v>
      </c>
      <c r="L82" s="363">
        <f t="shared" si="13"/>
        <v>38.973399000000001</v>
      </c>
      <c r="M82" s="108"/>
      <c r="N82" s="328"/>
    </row>
    <row r="83" spans="1:14" s="328" customFormat="1" x14ac:dyDescent="0.2">
      <c r="A83" s="517"/>
      <c r="B83" s="518">
        <v>2223</v>
      </c>
      <c r="C83" s="518">
        <v>2212</v>
      </c>
      <c r="D83" s="518">
        <v>36</v>
      </c>
      <c r="E83" s="518" t="s">
        <v>448</v>
      </c>
      <c r="F83" s="237">
        <v>3000</v>
      </c>
      <c r="G83" s="399"/>
      <c r="H83" s="364">
        <f t="shared" si="17"/>
        <v>3000</v>
      </c>
      <c r="I83" s="364"/>
      <c r="J83" s="363">
        <f t="shared" si="16"/>
        <v>0</v>
      </c>
      <c r="K83" s="364"/>
      <c r="L83" s="363">
        <f t="shared" si="13"/>
        <v>0</v>
      </c>
      <c r="M83" s="108"/>
    </row>
    <row r="84" spans="1:14" x14ac:dyDescent="0.2">
      <c r="A84" s="106"/>
      <c r="B84" s="29">
        <v>2212</v>
      </c>
      <c r="C84" s="362">
        <v>6171</v>
      </c>
      <c r="D84" s="29">
        <v>30.13</v>
      </c>
      <c r="E84" s="29" t="s">
        <v>308</v>
      </c>
      <c r="F84" s="237">
        <v>0</v>
      </c>
      <c r="G84" s="399"/>
      <c r="H84" s="72">
        <f t="shared" si="17"/>
        <v>0</v>
      </c>
      <c r="I84" s="364">
        <f>12.156+8.8198+17.041</f>
        <v>38.016800000000003</v>
      </c>
      <c r="J84" s="363"/>
      <c r="K84" s="72">
        <v>4.617</v>
      </c>
      <c r="L84" s="363"/>
      <c r="M84" s="108"/>
    </row>
    <row r="85" spans="1:14" x14ac:dyDescent="0.2">
      <c r="A85" s="106"/>
      <c r="B85" s="29">
        <v>2212</v>
      </c>
      <c r="C85" s="362">
        <v>5311</v>
      </c>
      <c r="D85" s="29">
        <v>16</v>
      </c>
      <c r="E85" s="29" t="s">
        <v>44</v>
      </c>
      <c r="F85" s="237">
        <v>100</v>
      </c>
      <c r="G85" s="399"/>
      <c r="H85" s="72">
        <f t="shared" si="17"/>
        <v>100</v>
      </c>
      <c r="I85" s="364"/>
      <c r="J85" s="34">
        <f t="shared" si="16"/>
        <v>0</v>
      </c>
      <c r="K85" s="72">
        <v>29.6</v>
      </c>
      <c r="L85" s="363">
        <f t="shared" si="13"/>
        <v>29.600000000000005</v>
      </c>
      <c r="M85" s="108"/>
    </row>
    <row r="86" spans="1:14" x14ac:dyDescent="0.2">
      <c r="A86" s="95" t="s">
        <v>155</v>
      </c>
      <c r="B86" s="29"/>
      <c r="C86" s="362"/>
      <c r="D86" s="29"/>
      <c r="E86" s="29"/>
      <c r="F86" s="73">
        <f>SUM(F87:F95)</f>
        <v>50</v>
      </c>
      <c r="G86" s="397">
        <f>SUM(G87:G95)</f>
        <v>0</v>
      </c>
      <c r="H86" s="73">
        <f>SUM(H87:H95)</f>
        <v>50</v>
      </c>
      <c r="I86" s="73">
        <f>SUM(I87:I95)</f>
        <v>129.80000000000001</v>
      </c>
      <c r="J86" s="159">
        <f t="shared" si="16"/>
        <v>259.60000000000002</v>
      </c>
      <c r="K86" s="73">
        <f>SUM(K87:K95)</f>
        <v>220.25380000000001</v>
      </c>
      <c r="L86" s="159">
        <f t="shared" si="13"/>
        <v>440.50760000000002</v>
      </c>
      <c r="M86" s="224"/>
    </row>
    <row r="87" spans="1:14" x14ac:dyDescent="0.2">
      <c r="A87" s="106"/>
      <c r="B87" s="29">
        <v>2321</v>
      </c>
      <c r="C87" s="362">
        <v>2199</v>
      </c>
      <c r="D87" s="29"/>
      <c r="E87" s="29" t="s">
        <v>260</v>
      </c>
      <c r="F87" s="237">
        <v>0</v>
      </c>
      <c r="G87" s="399"/>
      <c r="H87" s="72">
        <f>SUM(F87:G87)</f>
        <v>0</v>
      </c>
      <c r="I87" s="364"/>
      <c r="J87" s="34"/>
      <c r="K87" s="72"/>
      <c r="L87" s="363"/>
      <c r="M87" s="108"/>
    </row>
    <row r="88" spans="1:14" s="328" customFormat="1" x14ac:dyDescent="0.2">
      <c r="A88" s="106"/>
      <c r="B88" s="29">
        <v>2222</v>
      </c>
      <c r="C88" s="362">
        <v>6402</v>
      </c>
      <c r="D88" s="29">
        <v>110</v>
      </c>
      <c r="E88" s="29" t="s">
        <v>394</v>
      </c>
      <c r="F88" s="237">
        <v>0</v>
      </c>
      <c r="G88" s="399"/>
      <c r="H88" s="72">
        <f>SUM(F88:G88)</f>
        <v>0</v>
      </c>
      <c r="I88" s="364"/>
      <c r="J88" s="34"/>
      <c r="K88" s="72"/>
      <c r="L88" s="363"/>
      <c r="M88" s="108"/>
    </row>
    <row r="89" spans="1:14" x14ac:dyDescent="0.2">
      <c r="A89" s="106"/>
      <c r="B89" s="29">
        <v>2324</v>
      </c>
      <c r="C89" s="362">
        <v>3613</v>
      </c>
      <c r="D89" s="29">
        <v>305</v>
      </c>
      <c r="E89" s="29" t="s">
        <v>335</v>
      </c>
      <c r="F89" s="237">
        <v>50</v>
      </c>
      <c r="G89" s="398"/>
      <c r="H89" s="72">
        <f>SUM(F89:G89)</f>
        <v>50</v>
      </c>
      <c r="I89" s="364"/>
      <c r="J89" s="34">
        <f t="shared" si="16"/>
        <v>0</v>
      </c>
      <c r="K89" s="72"/>
      <c r="L89" s="363">
        <f t="shared" si="13"/>
        <v>0</v>
      </c>
      <c r="M89" s="108"/>
    </row>
    <row r="90" spans="1:14" s="328" customFormat="1" x14ac:dyDescent="0.2">
      <c r="A90" s="106"/>
      <c r="B90" s="29">
        <v>2324</v>
      </c>
      <c r="C90" s="362">
        <v>6171</v>
      </c>
      <c r="D90" s="29"/>
      <c r="E90" s="29" t="s">
        <v>537</v>
      </c>
      <c r="F90" s="364"/>
      <c r="G90" s="398"/>
      <c r="H90" s="72"/>
      <c r="I90" s="364"/>
      <c r="J90" s="34"/>
      <c r="K90" s="72">
        <f>12.156+8.8198</f>
        <v>20.9758</v>
      </c>
      <c r="L90" s="363"/>
      <c r="M90" s="108"/>
    </row>
    <row r="91" spans="1:14" s="328" customFormat="1" x14ac:dyDescent="0.2">
      <c r="A91" s="106"/>
      <c r="B91" s="29">
        <v>2229</v>
      </c>
      <c r="C91" s="362"/>
      <c r="D91" s="29">
        <v>2020</v>
      </c>
      <c r="E91" s="29" t="s">
        <v>535</v>
      </c>
      <c r="F91" s="364"/>
      <c r="G91" s="402"/>
      <c r="H91" s="72">
        <f>SUM(F91:G91)</f>
        <v>0</v>
      </c>
      <c r="I91" s="364"/>
      <c r="J91" s="34"/>
      <c r="K91" s="72">
        <v>47.078000000000003</v>
      </c>
      <c r="L91" s="363"/>
      <c r="M91" s="108"/>
    </row>
    <row r="92" spans="1:14" s="328" customFormat="1" x14ac:dyDescent="0.2">
      <c r="A92" s="106"/>
      <c r="B92" s="29">
        <v>2229</v>
      </c>
      <c r="C92" s="362"/>
      <c r="D92" s="29">
        <v>105</v>
      </c>
      <c r="E92" s="29" t="s">
        <v>423</v>
      </c>
      <c r="F92" s="364"/>
      <c r="G92" s="402"/>
      <c r="H92" s="72"/>
      <c r="I92" s="364">
        <f>97+14+2</f>
        <v>113</v>
      </c>
      <c r="J92" s="34"/>
      <c r="K92" s="72">
        <f>14+97+2</f>
        <v>113</v>
      </c>
      <c r="L92" s="363"/>
      <c r="M92" s="108"/>
    </row>
    <row r="93" spans="1:14" s="328" customFormat="1" x14ac:dyDescent="0.2">
      <c r="A93" s="106"/>
      <c r="B93" s="29">
        <v>2324</v>
      </c>
      <c r="C93" s="362"/>
      <c r="D93" s="29">
        <v>108</v>
      </c>
      <c r="E93" s="29" t="s">
        <v>409</v>
      </c>
      <c r="F93" s="364"/>
      <c r="G93" s="399"/>
      <c r="H93" s="72">
        <f>SUM(F93:G93)</f>
        <v>0</v>
      </c>
      <c r="I93" s="364">
        <v>0</v>
      </c>
      <c r="J93" s="34"/>
      <c r="K93" s="72"/>
      <c r="L93" s="363"/>
      <c r="M93" s="108"/>
    </row>
    <row r="94" spans="1:14" x14ac:dyDescent="0.2">
      <c r="A94" s="106"/>
      <c r="B94" s="29">
        <v>2324</v>
      </c>
      <c r="C94" s="362"/>
      <c r="D94" s="29">
        <v>109</v>
      </c>
      <c r="E94" s="29" t="s">
        <v>449</v>
      </c>
      <c r="F94" s="364"/>
      <c r="G94" s="399"/>
      <c r="H94" s="72">
        <f>SUM(F94:G94)</f>
        <v>0</v>
      </c>
      <c r="I94" s="364"/>
      <c r="J94" s="34"/>
      <c r="K94" s="72"/>
      <c r="L94" s="363"/>
      <c r="M94" s="108"/>
    </row>
    <row r="95" spans="1:14" s="328" customFormat="1" x14ac:dyDescent="0.2">
      <c r="A95" s="106"/>
      <c r="B95" s="29">
        <v>2324</v>
      </c>
      <c r="C95" s="362"/>
      <c r="D95" s="29">
        <v>223</v>
      </c>
      <c r="E95" s="29" t="s">
        <v>410</v>
      </c>
      <c r="F95" s="364"/>
      <c r="G95" s="399"/>
      <c r="H95" s="72">
        <f>SUM(F95:G95)</f>
        <v>0</v>
      </c>
      <c r="I95" s="364">
        <v>16.8</v>
      </c>
      <c r="J95" s="34"/>
      <c r="K95" s="72">
        <v>39.200000000000003</v>
      </c>
      <c r="L95" s="363"/>
      <c r="M95" s="108"/>
    </row>
    <row r="96" spans="1:14" s="328" customFormat="1" x14ac:dyDescent="0.2">
      <c r="A96" s="95" t="s">
        <v>154</v>
      </c>
      <c r="B96" s="29"/>
      <c r="C96" s="362"/>
      <c r="D96" s="29"/>
      <c r="E96" s="29"/>
      <c r="F96" s="73">
        <f>SUM(F97:F97)</f>
        <v>0</v>
      </c>
      <c r="G96" s="397">
        <f>SUM(G97:G97)</f>
        <v>0</v>
      </c>
      <c r="H96" s="73">
        <f>SUM(H97:H97)</f>
        <v>0</v>
      </c>
      <c r="I96" s="73">
        <f>SUM(I97:I97)</f>
        <v>0</v>
      </c>
      <c r="J96" s="31"/>
      <c r="K96" s="73">
        <f>SUM(K97:K97)</f>
        <v>0</v>
      </c>
      <c r="L96" s="31"/>
      <c r="M96" s="183"/>
    </row>
    <row r="97" spans="1:15" ht="13.5" thickBot="1" x14ac:dyDescent="0.25">
      <c r="A97" s="106"/>
      <c r="B97" s="29"/>
      <c r="C97" s="362"/>
      <c r="D97" s="29"/>
      <c r="E97" s="160"/>
      <c r="F97" s="72"/>
      <c r="G97" s="399"/>
      <c r="H97" s="72"/>
      <c r="I97" s="364"/>
      <c r="J97" s="34"/>
      <c r="K97" s="72"/>
      <c r="L97" s="363"/>
      <c r="M97" s="324"/>
    </row>
    <row r="98" spans="1:15" ht="16.5" thickBot="1" x14ac:dyDescent="0.3">
      <c r="A98" s="111" t="s">
        <v>45</v>
      </c>
      <c r="B98" s="114"/>
      <c r="C98" s="114"/>
      <c r="D98" s="114"/>
      <c r="E98" s="114"/>
      <c r="F98" s="74">
        <f>SUM(F40+F61+F72+F77+F86+F96)</f>
        <v>31040</v>
      </c>
      <c r="G98" s="403">
        <f>SUM(G40+G61+G72+G77+G86+G96)</f>
        <v>0</v>
      </c>
      <c r="H98" s="74">
        <f>SUM(H40+H61+H72+H77+H86+H96)</f>
        <v>31040</v>
      </c>
      <c r="I98" s="74">
        <f>SUM(I40+I61+I72+I77+I86+I96)</f>
        <v>7779.3105299999997</v>
      </c>
      <c r="J98" s="37">
        <f>I98/$H98*100</f>
        <v>25.06221175902062</v>
      </c>
      <c r="K98" s="74">
        <f>SUM(K40+K61+K72+K77+K86+K96)</f>
        <v>14282.142669999999</v>
      </c>
      <c r="L98" s="37">
        <f>K98/$H98*100</f>
        <v>46.012057570876287</v>
      </c>
      <c r="M98" s="187"/>
      <c r="N98" s="328"/>
      <c r="O98" s="525"/>
    </row>
    <row r="99" spans="1:15" x14ac:dyDescent="0.2">
      <c r="A99" s="107" t="s">
        <v>174</v>
      </c>
      <c r="B99" s="77"/>
      <c r="C99" s="77"/>
      <c r="D99" s="77"/>
      <c r="E99" s="107" t="s">
        <v>46</v>
      </c>
      <c r="F99" s="76"/>
      <c r="G99" s="76"/>
      <c r="H99" s="76"/>
      <c r="I99" s="76"/>
      <c r="J99" s="30"/>
      <c r="K99" s="76"/>
      <c r="L99" s="30"/>
      <c r="M99" s="185"/>
    </row>
    <row r="100" spans="1:15" x14ac:dyDescent="0.2">
      <c r="A100" s="95" t="s">
        <v>47</v>
      </c>
      <c r="B100" s="32"/>
      <c r="C100" s="32"/>
      <c r="D100" s="32"/>
      <c r="E100" s="32"/>
      <c r="F100" s="73"/>
      <c r="G100" s="73"/>
      <c r="H100" s="73"/>
      <c r="I100" s="73"/>
      <c r="J100" s="31"/>
      <c r="K100" s="73"/>
      <c r="L100" s="31"/>
      <c r="M100" s="184"/>
    </row>
    <row r="101" spans="1:15" x14ac:dyDescent="0.2">
      <c r="A101" s="338"/>
      <c r="B101" s="33">
        <v>3201</v>
      </c>
      <c r="C101" s="362">
        <v>3522</v>
      </c>
      <c r="D101" s="33">
        <v>233</v>
      </c>
      <c r="E101" s="33" t="s">
        <v>444</v>
      </c>
      <c r="F101" s="341">
        <v>12337</v>
      </c>
      <c r="G101" s="401"/>
      <c r="H101" s="72">
        <f>SUM(F101:G101)</f>
        <v>12337</v>
      </c>
      <c r="I101" s="341"/>
      <c r="J101" s="363">
        <f t="shared" ref="J101:J102" si="18">I101/$H101*100</f>
        <v>0</v>
      </c>
      <c r="K101" s="341"/>
      <c r="L101" s="342"/>
      <c r="M101" s="339" t="s">
        <v>442</v>
      </c>
      <c r="N101" s="222"/>
    </row>
    <row r="102" spans="1:15" s="340" customFormat="1" x14ac:dyDescent="0.2">
      <c r="A102" s="106"/>
      <c r="B102" s="29">
        <v>3111</v>
      </c>
      <c r="C102" s="362">
        <v>2121</v>
      </c>
      <c r="D102" s="29">
        <v>20</v>
      </c>
      <c r="E102" s="29" t="s">
        <v>200</v>
      </c>
      <c r="F102" s="237">
        <v>100</v>
      </c>
      <c r="G102" s="399"/>
      <c r="H102" s="72">
        <f>SUM(F102:G102)</f>
        <v>100</v>
      </c>
      <c r="I102" s="364"/>
      <c r="J102" s="363">
        <f t="shared" si="18"/>
        <v>0</v>
      </c>
      <c r="K102" s="72"/>
      <c r="L102" s="363">
        <f>K102/$H102*100</f>
        <v>0</v>
      </c>
      <c r="M102" s="108"/>
      <c r="N102" s="343"/>
    </row>
    <row r="103" spans="1:15" x14ac:dyDescent="0.2">
      <c r="A103" s="106"/>
      <c r="B103" s="29">
        <v>3112</v>
      </c>
      <c r="C103" s="362">
        <v>3612</v>
      </c>
      <c r="D103" s="29">
        <v>45</v>
      </c>
      <c r="E103" s="29" t="s">
        <v>201</v>
      </c>
      <c r="F103" s="237">
        <f>1500+2080+2080</f>
        <v>5660</v>
      </c>
      <c r="G103" s="398"/>
      <c r="H103" s="72">
        <f>SUM(F103:G103)</f>
        <v>5660</v>
      </c>
      <c r="I103" s="364">
        <v>8200</v>
      </c>
      <c r="J103" s="34">
        <f>I103/$H103*100</f>
        <v>144.87632508833923</v>
      </c>
      <c r="K103" s="72">
        <v>8200</v>
      </c>
      <c r="L103" s="363">
        <f>K103/$H103*100</f>
        <v>144.87632508833923</v>
      </c>
      <c r="M103" s="108"/>
      <c r="N103" s="331">
        <v>0</v>
      </c>
    </row>
    <row r="104" spans="1:15" ht="13.5" thickBot="1" x14ac:dyDescent="0.25">
      <c r="A104" s="106"/>
      <c r="B104" s="29">
        <v>3221</v>
      </c>
      <c r="C104" s="362">
        <v>2199</v>
      </c>
      <c r="D104" s="29">
        <v>912</v>
      </c>
      <c r="E104" s="29" t="s">
        <v>547</v>
      </c>
      <c r="F104" s="237">
        <v>0</v>
      </c>
      <c r="G104" s="399">
        <v>150</v>
      </c>
      <c r="H104" s="72">
        <f>SUM(F104:G104)</f>
        <v>150</v>
      </c>
      <c r="I104" s="364"/>
      <c r="J104" s="34"/>
      <c r="K104" s="72"/>
      <c r="L104" s="363">
        <f>K104/$H104*100</f>
        <v>0</v>
      </c>
      <c r="M104" s="108" t="s">
        <v>383</v>
      </c>
    </row>
    <row r="105" spans="1:15" ht="16.5" thickBot="1" x14ac:dyDescent="0.3">
      <c r="A105" s="111" t="s">
        <v>48</v>
      </c>
      <c r="B105" s="114"/>
      <c r="C105" s="114"/>
      <c r="D105" s="114"/>
      <c r="E105" s="114"/>
      <c r="F105" s="74">
        <f>SUM(F101:F104)</f>
        <v>18097</v>
      </c>
      <c r="G105" s="403">
        <f>SUM(G101:G104)</f>
        <v>150</v>
      </c>
      <c r="H105" s="74">
        <f>SUM(H101:H104)</f>
        <v>18247</v>
      </c>
      <c r="I105" s="74">
        <f>SUM(I102:I104)</f>
        <v>8200</v>
      </c>
      <c r="J105" s="37">
        <f>I105/$H105*100</f>
        <v>44.93889406477777</v>
      </c>
      <c r="K105" s="74">
        <f>SUM(K101:K104)</f>
        <v>8200</v>
      </c>
      <c r="L105" s="37">
        <f>K105/$H105*100</f>
        <v>44.93889406477777</v>
      </c>
      <c r="M105" s="307"/>
    </row>
    <row r="106" spans="1:15" ht="15.75" customHeight="1" x14ac:dyDescent="0.2">
      <c r="A106" s="107" t="s">
        <v>49</v>
      </c>
      <c r="B106" s="78"/>
      <c r="C106" s="78"/>
      <c r="D106" s="78"/>
      <c r="E106" s="107" t="s">
        <v>50</v>
      </c>
      <c r="F106" s="75"/>
      <c r="G106" s="75"/>
      <c r="H106" s="76"/>
      <c r="I106" s="75"/>
      <c r="J106" s="38"/>
      <c r="K106" s="75"/>
      <c r="L106" s="38"/>
      <c r="M106" s="188"/>
      <c r="N106" s="241">
        <f>SUM(N41:N105)+60</f>
        <v>750</v>
      </c>
    </row>
    <row r="107" spans="1:15" x14ac:dyDescent="0.2">
      <c r="A107" s="95" t="s">
        <v>51</v>
      </c>
      <c r="B107" s="32"/>
      <c r="C107" s="32" t="s">
        <v>305</v>
      </c>
      <c r="D107" s="32" t="s">
        <v>166</v>
      </c>
      <c r="E107" s="32"/>
      <c r="F107" s="73">
        <f>SUM(F108:F144)</f>
        <v>33800</v>
      </c>
      <c r="G107" s="397">
        <f>SUM(G108:G144)</f>
        <v>8324.4621900000002</v>
      </c>
      <c r="H107" s="73">
        <f>SUM(H108:H144)</f>
        <v>42124.462189999998</v>
      </c>
      <c r="I107" s="73">
        <f>SUM(I108:I144)</f>
        <v>8173.459499999999</v>
      </c>
      <c r="J107" s="31">
        <f>I107/$H107*100</f>
        <v>19.403118936294245</v>
      </c>
      <c r="K107" s="73">
        <f>SUM(K108:K144)</f>
        <v>28998.472689999999</v>
      </c>
      <c r="L107" s="31">
        <f>K107/$H107*100</f>
        <v>68.839983188874982</v>
      </c>
      <c r="M107" s="189"/>
    </row>
    <row r="108" spans="1:15" x14ac:dyDescent="0.2">
      <c r="A108" s="106"/>
      <c r="B108" s="29">
        <v>4112</v>
      </c>
      <c r="C108" s="362"/>
      <c r="D108" s="29"/>
      <c r="E108" s="29" t="s">
        <v>202</v>
      </c>
      <c r="F108" s="237">
        <v>23162.400000000001</v>
      </c>
      <c r="G108" s="399"/>
      <c r="H108" s="72">
        <f t="shared" ref="H108:H144" si="19">SUM(F108:G108)</f>
        <v>23162.400000000001</v>
      </c>
      <c r="I108" s="364">
        <v>5790.6</v>
      </c>
      <c r="J108" s="34">
        <f>I108/$H108*100</f>
        <v>25</v>
      </c>
      <c r="K108" s="72">
        <v>11581.2</v>
      </c>
      <c r="L108" s="363">
        <f>K108/$H108*100</f>
        <v>50</v>
      </c>
      <c r="M108" s="119"/>
    </row>
    <row r="109" spans="1:15" x14ac:dyDescent="0.2">
      <c r="A109" s="106"/>
      <c r="B109" s="29">
        <v>4111</v>
      </c>
      <c r="C109" s="362"/>
      <c r="D109" s="29">
        <v>98116</v>
      </c>
      <c r="E109" s="160" t="s">
        <v>407</v>
      </c>
      <c r="F109" s="237"/>
      <c r="G109" s="399"/>
      <c r="H109" s="72">
        <f t="shared" si="19"/>
        <v>0</v>
      </c>
      <c r="I109" s="364"/>
      <c r="J109" s="34"/>
      <c r="K109" s="72"/>
      <c r="L109" s="363"/>
      <c r="M109" s="119"/>
      <c r="N109" s="67"/>
    </row>
    <row r="110" spans="1:15" s="328" customFormat="1" x14ac:dyDescent="0.2">
      <c r="A110" s="106"/>
      <c r="B110" s="29">
        <v>4111</v>
      </c>
      <c r="C110" s="362"/>
      <c r="D110" s="29">
        <v>98043</v>
      </c>
      <c r="E110" s="160" t="s">
        <v>412</v>
      </c>
      <c r="F110" s="237">
        <v>0</v>
      </c>
      <c r="G110" s="399">
        <v>356.42169000000001</v>
      </c>
      <c r="H110" s="72">
        <f t="shared" si="19"/>
        <v>356.42169000000001</v>
      </c>
      <c r="I110" s="364"/>
      <c r="J110" s="34"/>
      <c r="K110" s="72">
        <v>356.42169000000001</v>
      </c>
      <c r="L110" s="363">
        <f t="shared" ref="L110:L143" si="20">K110/$H110*100</f>
        <v>100</v>
      </c>
      <c r="M110" s="119"/>
      <c r="N110" s="67"/>
    </row>
    <row r="111" spans="1:15" s="328" customFormat="1" x14ac:dyDescent="0.2">
      <c r="A111" s="106"/>
      <c r="B111" s="29">
        <v>4111</v>
      </c>
      <c r="C111" s="362">
        <v>110</v>
      </c>
      <c r="D111" s="29"/>
      <c r="E111" s="160" t="s">
        <v>429</v>
      </c>
      <c r="F111" s="237">
        <v>0</v>
      </c>
      <c r="G111" s="399"/>
      <c r="H111" s="72">
        <f t="shared" si="19"/>
        <v>0</v>
      </c>
      <c r="I111" s="364"/>
      <c r="J111" s="34"/>
      <c r="K111" s="72"/>
      <c r="L111" s="363"/>
      <c r="M111" s="119"/>
      <c r="N111" s="67"/>
    </row>
    <row r="112" spans="1:15" s="328" customFormat="1" x14ac:dyDescent="0.2">
      <c r="A112" s="106"/>
      <c r="B112" s="29">
        <v>4116</v>
      </c>
      <c r="C112" s="362">
        <v>109</v>
      </c>
      <c r="D112" s="29"/>
      <c r="E112" s="160" t="s">
        <v>433</v>
      </c>
      <c r="F112" s="237">
        <v>0</v>
      </c>
      <c r="G112" s="399"/>
      <c r="H112" s="72">
        <f t="shared" si="19"/>
        <v>0</v>
      </c>
      <c r="I112" s="364"/>
      <c r="J112" s="34"/>
      <c r="K112" s="72"/>
      <c r="L112" s="363"/>
      <c r="M112" s="119"/>
      <c r="N112" s="67"/>
    </row>
    <row r="113" spans="1:14" s="328" customFormat="1" x14ac:dyDescent="0.2">
      <c r="A113" s="106"/>
      <c r="B113" s="518">
        <v>4116</v>
      </c>
      <c r="C113" s="518">
        <v>314</v>
      </c>
      <c r="D113" s="520" t="s">
        <v>523</v>
      </c>
      <c r="E113" s="521" t="s">
        <v>315</v>
      </c>
      <c r="F113" s="237">
        <v>3800</v>
      </c>
      <c r="G113" s="399"/>
      <c r="H113" s="72">
        <f t="shared" si="19"/>
        <v>3800</v>
      </c>
      <c r="I113" s="364"/>
      <c r="J113" s="34">
        <f t="shared" ref="J113:J143" si="21">I113/$H113*100</f>
        <v>0</v>
      </c>
      <c r="K113" s="72">
        <v>3738</v>
      </c>
      <c r="L113" s="363">
        <f t="shared" si="20"/>
        <v>98.368421052631589</v>
      </c>
      <c r="M113" s="337"/>
      <c r="N113" s="67"/>
    </row>
    <row r="114" spans="1:14" x14ac:dyDescent="0.2">
      <c r="A114" s="106"/>
      <c r="B114" s="29">
        <v>4116</v>
      </c>
      <c r="C114" s="362">
        <v>314</v>
      </c>
      <c r="D114" s="197" t="s">
        <v>331</v>
      </c>
      <c r="E114" s="270" t="s">
        <v>275</v>
      </c>
      <c r="F114" s="237">
        <v>603</v>
      </c>
      <c r="G114" s="398"/>
      <c r="H114" s="72">
        <f t="shared" si="19"/>
        <v>603</v>
      </c>
      <c r="I114" s="364"/>
      <c r="J114" s="34">
        <f t="shared" si="21"/>
        <v>0</v>
      </c>
      <c r="K114" s="72">
        <v>606.00599999999997</v>
      </c>
      <c r="L114" s="363">
        <f t="shared" si="20"/>
        <v>100.49850746268656</v>
      </c>
      <c r="M114" s="119"/>
      <c r="N114" s="21"/>
    </row>
    <row r="115" spans="1:14" x14ac:dyDescent="0.2">
      <c r="A115" s="106"/>
      <c r="B115" s="29">
        <v>4116</v>
      </c>
      <c r="C115" s="362">
        <v>314</v>
      </c>
      <c r="D115" s="197"/>
      <c r="E115" s="270" t="s">
        <v>416</v>
      </c>
      <c r="F115" s="237"/>
      <c r="G115" s="398"/>
      <c r="H115" s="72">
        <f t="shared" si="19"/>
        <v>0</v>
      </c>
      <c r="I115" s="364"/>
      <c r="J115" s="34"/>
      <c r="K115" s="72"/>
      <c r="L115" s="363"/>
      <c r="M115" s="119"/>
      <c r="N115" s="328"/>
    </row>
    <row r="116" spans="1:14" s="328" customFormat="1" x14ac:dyDescent="0.2">
      <c r="A116" s="106"/>
      <c r="B116" s="29">
        <v>4116</v>
      </c>
      <c r="C116" s="362">
        <v>15479</v>
      </c>
      <c r="D116" s="29"/>
      <c r="E116" s="160" t="s">
        <v>355</v>
      </c>
      <c r="F116" s="237">
        <v>294</v>
      </c>
      <c r="G116" s="398"/>
      <c r="H116" s="72">
        <f t="shared" si="19"/>
        <v>294</v>
      </c>
      <c r="I116" s="364"/>
      <c r="J116" s="34">
        <f t="shared" si="21"/>
        <v>0</v>
      </c>
      <c r="K116" s="72">
        <v>269.41050000000001</v>
      </c>
      <c r="L116" s="363">
        <f t="shared" si="20"/>
        <v>91.636224489795921</v>
      </c>
      <c r="M116" s="119"/>
    </row>
    <row r="117" spans="1:14" x14ac:dyDescent="0.2">
      <c r="A117" s="106"/>
      <c r="B117" s="29">
        <v>4116</v>
      </c>
      <c r="C117" s="362">
        <v>103.102</v>
      </c>
      <c r="D117" s="29"/>
      <c r="E117" s="160" t="s">
        <v>316</v>
      </c>
      <c r="F117" s="237">
        <v>900</v>
      </c>
      <c r="G117" s="398"/>
      <c r="H117" s="72">
        <f t="shared" si="19"/>
        <v>900</v>
      </c>
      <c r="I117" s="364"/>
      <c r="J117" s="34">
        <f t="shared" si="21"/>
        <v>0</v>
      </c>
      <c r="K117" s="72"/>
      <c r="L117" s="363">
        <f t="shared" si="20"/>
        <v>0</v>
      </c>
      <c r="M117" s="119"/>
    </row>
    <row r="118" spans="1:14" x14ac:dyDescent="0.2">
      <c r="A118" s="106"/>
      <c r="B118" s="29">
        <v>4116</v>
      </c>
      <c r="C118" s="362">
        <v>201</v>
      </c>
      <c r="D118" s="29"/>
      <c r="E118" s="160" t="s">
        <v>419</v>
      </c>
      <c r="F118" s="237"/>
      <c r="G118" s="398">
        <v>195.55699999999999</v>
      </c>
      <c r="H118" s="72">
        <f t="shared" si="19"/>
        <v>195.55699999999999</v>
      </c>
      <c r="I118" s="364"/>
      <c r="J118" s="34"/>
      <c r="K118" s="72"/>
      <c r="L118" s="363">
        <f t="shared" si="20"/>
        <v>0</v>
      </c>
      <c r="M118" s="119"/>
      <c r="N118" s="328"/>
    </row>
    <row r="119" spans="1:14" s="328" customFormat="1" x14ac:dyDescent="0.2">
      <c r="A119" s="106"/>
      <c r="B119" s="29">
        <v>4116</v>
      </c>
      <c r="C119" s="362">
        <v>227</v>
      </c>
      <c r="D119" s="29"/>
      <c r="E119" s="160" t="s">
        <v>414</v>
      </c>
      <c r="F119" s="237"/>
      <c r="G119" s="398"/>
      <c r="H119" s="72">
        <f t="shared" si="19"/>
        <v>0</v>
      </c>
      <c r="I119" s="364"/>
      <c r="J119" s="34"/>
      <c r="K119" s="72"/>
      <c r="L119" s="363"/>
      <c r="M119" s="119"/>
    </row>
    <row r="120" spans="1:14" s="328" customFormat="1" x14ac:dyDescent="0.2">
      <c r="A120" s="106"/>
      <c r="B120" s="29">
        <v>4116</v>
      </c>
      <c r="C120" s="362">
        <v>250</v>
      </c>
      <c r="D120" s="29"/>
      <c r="E120" s="160" t="s">
        <v>385</v>
      </c>
      <c r="F120" s="237"/>
      <c r="G120" s="399"/>
      <c r="H120" s="72">
        <f t="shared" si="19"/>
        <v>0</v>
      </c>
      <c r="I120" s="364"/>
      <c r="J120" s="34"/>
      <c r="K120" s="72"/>
      <c r="L120" s="363"/>
      <c r="M120" s="119"/>
    </row>
    <row r="121" spans="1:14" s="328" customFormat="1" x14ac:dyDescent="0.2">
      <c r="A121" s="106"/>
      <c r="B121" s="29">
        <v>4116</v>
      </c>
      <c r="C121" s="362">
        <v>280</v>
      </c>
      <c r="D121" s="29"/>
      <c r="E121" s="160" t="s">
        <v>376</v>
      </c>
      <c r="F121" s="237"/>
      <c r="G121" s="399"/>
      <c r="H121" s="72">
        <f t="shared" si="19"/>
        <v>0</v>
      </c>
      <c r="I121" s="364"/>
      <c r="J121" s="34"/>
      <c r="K121" s="72"/>
      <c r="L121" s="363"/>
      <c r="M121" s="119"/>
    </row>
    <row r="122" spans="1:14" s="328" customFormat="1" x14ac:dyDescent="0.2">
      <c r="A122" s="106"/>
      <c r="B122" s="29">
        <v>4116</v>
      </c>
      <c r="C122" s="362">
        <v>4169</v>
      </c>
      <c r="D122" s="29"/>
      <c r="E122" s="160" t="s">
        <v>390</v>
      </c>
      <c r="F122" s="237"/>
      <c r="G122" s="399"/>
      <c r="H122" s="72">
        <f t="shared" si="19"/>
        <v>0</v>
      </c>
      <c r="I122" s="364"/>
      <c r="J122" s="34"/>
      <c r="K122" s="72"/>
      <c r="L122" s="363"/>
      <c r="M122" s="119"/>
    </row>
    <row r="123" spans="1:14" s="328" customFormat="1" x14ac:dyDescent="0.2">
      <c r="A123" s="106"/>
      <c r="B123" s="29">
        <v>4116</v>
      </c>
      <c r="C123" s="362">
        <v>301</v>
      </c>
      <c r="D123" s="29"/>
      <c r="E123" s="160" t="s">
        <v>421</v>
      </c>
      <c r="F123" s="237"/>
      <c r="G123" s="399">
        <v>39</v>
      </c>
      <c r="H123" s="72">
        <f t="shared" si="19"/>
        <v>39</v>
      </c>
      <c r="I123" s="364"/>
      <c r="J123" s="34"/>
      <c r="K123" s="72">
        <f>39</f>
        <v>39</v>
      </c>
      <c r="L123" s="363">
        <f t="shared" si="20"/>
        <v>100</v>
      </c>
      <c r="M123" s="119"/>
    </row>
    <row r="124" spans="1:14" s="328" customFormat="1" x14ac:dyDescent="0.2">
      <c r="A124" s="106"/>
      <c r="B124" s="29">
        <v>4116</v>
      </c>
      <c r="C124" s="362">
        <v>303</v>
      </c>
      <c r="D124" s="29"/>
      <c r="E124" s="160" t="s">
        <v>417</v>
      </c>
      <c r="F124" s="237"/>
      <c r="G124" s="399"/>
      <c r="H124" s="72">
        <f t="shared" si="19"/>
        <v>0</v>
      </c>
      <c r="I124" s="364"/>
      <c r="J124" s="34"/>
      <c r="K124" s="72"/>
      <c r="L124" s="363"/>
      <c r="M124" s="119"/>
    </row>
    <row r="125" spans="1:14" s="328" customFormat="1" x14ac:dyDescent="0.2">
      <c r="A125" s="106"/>
      <c r="B125" s="29">
        <v>4116</v>
      </c>
      <c r="C125" s="362">
        <v>304</v>
      </c>
      <c r="D125" s="29"/>
      <c r="E125" s="160" t="s">
        <v>426</v>
      </c>
      <c r="F125" s="237"/>
      <c r="G125" s="399"/>
      <c r="H125" s="72">
        <f t="shared" si="19"/>
        <v>0</v>
      </c>
      <c r="I125" s="364"/>
      <c r="J125" s="34"/>
      <c r="K125" s="72"/>
      <c r="L125" s="363"/>
      <c r="M125" s="119"/>
    </row>
    <row r="126" spans="1:14" s="328" customFormat="1" x14ac:dyDescent="0.2">
      <c r="A126" s="106"/>
      <c r="B126" s="29">
        <v>4116</v>
      </c>
      <c r="C126" s="362">
        <v>307</v>
      </c>
      <c r="D126" s="29"/>
      <c r="E126" s="160" t="s">
        <v>422</v>
      </c>
      <c r="F126" s="237"/>
      <c r="G126" s="399"/>
      <c r="H126" s="72">
        <f t="shared" si="19"/>
        <v>0</v>
      </c>
      <c r="I126" s="364"/>
      <c r="J126" s="34"/>
      <c r="K126" s="72"/>
      <c r="L126" s="363"/>
      <c r="M126" s="119"/>
    </row>
    <row r="127" spans="1:14" s="328" customFormat="1" x14ac:dyDescent="0.2">
      <c r="A127" s="106"/>
      <c r="B127" s="29">
        <v>4116</v>
      </c>
      <c r="C127" s="362">
        <v>312</v>
      </c>
      <c r="D127" s="29"/>
      <c r="E127" s="160" t="s">
        <v>418</v>
      </c>
      <c r="F127" s="237"/>
      <c r="G127" s="399"/>
      <c r="H127" s="72">
        <f t="shared" si="19"/>
        <v>0</v>
      </c>
      <c r="I127" s="364"/>
      <c r="J127" s="34"/>
      <c r="K127" s="72"/>
      <c r="L127" s="363"/>
      <c r="M127" s="119"/>
    </row>
    <row r="128" spans="1:14" s="328" customFormat="1" x14ac:dyDescent="0.2">
      <c r="A128" s="106"/>
      <c r="B128" s="29">
        <v>4116</v>
      </c>
      <c r="C128" s="362">
        <v>223</v>
      </c>
      <c r="D128" s="29">
        <v>14004</v>
      </c>
      <c r="E128" s="160" t="s">
        <v>411</v>
      </c>
      <c r="F128" s="237"/>
      <c r="G128" s="399"/>
      <c r="H128" s="72">
        <f t="shared" si="19"/>
        <v>0</v>
      </c>
      <c r="I128" s="364"/>
      <c r="J128" s="34"/>
      <c r="K128" s="72"/>
      <c r="L128" s="363"/>
      <c r="M128" s="119"/>
    </row>
    <row r="129" spans="1:14" s="328" customFormat="1" x14ac:dyDescent="0.2">
      <c r="A129" s="106"/>
      <c r="B129" s="29">
        <v>4121</v>
      </c>
      <c r="C129" s="362" t="s">
        <v>264</v>
      </c>
      <c r="D129" s="29"/>
      <c r="E129" s="160" t="s">
        <v>250</v>
      </c>
      <c r="F129" s="237">
        <v>599.6</v>
      </c>
      <c r="G129" s="399"/>
      <c r="H129" s="72">
        <f t="shared" si="19"/>
        <v>599.6</v>
      </c>
      <c r="I129" s="364">
        <f>22.5+235</f>
        <v>257.5</v>
      </c>
      <c r="J129" s="34">
        <f t="shared" si="21"/>
        <v>42.945296864576385</v>
      </c>
      <c r="K129" s="72">
        <f>22.5+235</f>
        <v>257.5</v>
      </c>
      <c r="L129" s="363">
        <f t="shared" si="20"/>
        <v>42.945296864576385</v>
      </c>
      <c r="M129" s="119"/>
    </row>
    <row r="130" spans="1:14" x14ac:dyDescent="0.2">
      <c r="A130" s="106"/>
      <c r="B130" s="29">
        <v>4121</v>
      </c>
      <c r="C130" s="362">
        <v>321</v>
      </c>
      <c r="D130" s="29"/>
      <c r="E130" s="160" t="s">
        <v>206</v>
      </c>
      <c r="F130" s="237">
        <v>125</v>
      </c>
      <c r="G130" s="399"/>
      <c r="H130" s="72">
        <f t="shared" si="19"/>
        <v>125</v>
      </c>
      <c r="I130" s="364"/>
      <c r="J130" s="34">
        <f t="shared" si="21"/>
        <v>0</v>
      </c>
      <c r="K130" s="72">
        <v>10.38</v>
      </c>
      <c r="L130" s="363">
        <f t="shared" si="20"/>
        <v>8.3040000000000003</v>
      </c>
      <c r="M130" s="119" t="s">
        <v>0</v>
      </c>
    </row>
    <row r="131" spans="1:14" x14ac:dyDescent="0.2">
      <c r="A131" s="106"/>
      <c r="B131" s="29">
        <v>4121</v>
      </c>
      <c r="C131" s="362">
        <v>225</v>
      </c>
      <c r="D131" s="29"/>
      <c r="E131" s="160" t="s">
        <v>351</v>
      </c>
      <c r="F131" s="237">
        <v>661</v>
      </c>
      <c r="G131" s="399"/>
      <c r="H131" s="72">
        <f t="shared" si="19"/>
        <v>661</v>
      </c>
      <c r="I131" s="364">
        <v>390.20600000000002</v>
      </c>
      <c r="J131" s="34">
        <f t="shared" si="21"/>
        <v>59.032677760968234</v>
      </c>
      <c r="K131" s="72">
        <v>677.53599999999994</v>
      </c>
      <c r="L131" s="363">
        <f t="shared" si="20"/>
        <v>102.5016641452345</v>
      </c>
      <c r="M131" s="119" t="s">
        <v>391</v>
      </c>
    </row>
    <row r="132" spans="1:14" x14ac:dyDescent="0.2">
      <c r="A132" s="106"/>
      <c r="B132" s="29">
        <v>4121</v>
      </c>
      <c r="C132" s="362">
        <v>227</v>
      </c>
      <c r="D132" s="29"/>
      <c r="E132" s="160" t="s">
        <v>352</v>
      </c>
      <c r="F132" s="237">
        <v>455</v>
      </c>
      <c r="G132" s="399"/>
      <c r="H132" s="72">
        <f t="shared" si="19"/>
        <v>455</v>
      </c>
      <c r="I132" s="364">
        <v>91.802000000000007</v>
      </c>
      <c r="J132" s="34">
        <f t="shared" si="21"/>
        <v>20.176263736263738</v>
      </c>
      <c r="K132" s="72">
        <v>438.75599999999997</v>
      </c>
      <c r="L132" s="363">
        <f t="shared" si="20"/>
        <v>96.42989010989011</v>
      </c>
      <c r="M132" s="119"/>
    </row>
    <row r="133" spans="1:14" x14ac:dyDescent="0.2">
      <c r="A133" s="106"/>
      <c r="B133" s="29">
        <v>4122</v>
      </c>
      <c r="C133" s="362">
        <v>103</v>
      </c>
      <c r="D133" s="29"/>
      <c r="E133" s="160" t="s">
        <v>456</v>
      </c>
      <c r="F133" s="237"/>
      <c r="G133" s="399"/>
      <c r="H133" s="72">
        <f t="shared" si="19"/>
        <v>0</v>
      </c>
      <c r="I133" s="364"/>
      <c r="J133" s="34"/>
      <c r="K133" s="72"/>
      <c r="L133" s="363"/>
      <c r="M133" s="119"/>
    </row>
    <row r="134" spans="1:14" s="328" customFormat="1" x14ac:dyDescent="0.2">
      <c r="A134" s="106"/>
      <c r="B134" s="29">
        <v>4122</v>
      </c>
      <c r="C134" s="362">
        <v>201</v>
      </c>
      <c r="D134" s="29"/>
      <c r="E134" s="160" t="s">
        <v>413</v>
      </c>
      <c r="F134" s="237"/>
      <c r="G134" s="399"/>
      <c r="H134" s="72">
        <f t="shared" si="19"/>
        <v>0</v>
      </c>
      <c r="I134" s="364"/>
      <c r="J134" s="34"/>
      <c r="K134" s="72"/>
      <c r="L134" s="363"/>
      <c r="M134" s="119"/>
    </row>
    <row r="135" spans="1:14" s="328" customFormat="1" x14ac:dyDescent="0.2">
      <c r="A135" s="106"/>
      <c r="B135" s="29">
        <v>4122</v>
      </c>
      <c r="C135" s="362">
        <v>223</v>
      </c>
      <c r="D135" s="29"/>
      <c r="E135" s="160" t="s">
        <v>427</v>
      </c>
      <c r="F135" s="237"/>
      <c r="G135" s="399"/>
      <c r="H135" s="72">
        <f t="shared" si="19"/>
        <v>0</v>
      </c>
      <c r="I135" s="364"/>
      <c r="J135" s="34"/>
      <c r="K135" s="72"/>
      <c r="L135" s="363"/>
      <c r="M135" s="119"/>
    </row>
    <row r="136" spans="1:14" s="328" customFormat="1" x14ac:dyDescent="0.2">
      <c r="A136" s="106"/>
      <c r="B136" s="29">
        <v>4122</v>
      </c>
      <c r="C136" s="362">
        <v>230</v>
      </c>
      <c r="D136" s="29"/>
      <c r="E136" s="160" t="s">
        <v>388</v>
      </c>
      <c r="F136" s="237"/>
      <c r="G136" s="399"/>
      <c r="H136" s="72">
        <f t="shared" si="19"/>
        <v>0</v>
      </c>
      <c r="I136" s="364"/>
      <c r="J136" s="34"/>
      <c r="K136" s="72"/>
      <c r="L136" s="363"/>
      <c r="M136" s="119"/>
    </row>
    <row r="137" spans="1:14" s="328" customFormat="1" x14ac:dyDescent="0.2">
      <c r="A137" s="367"/>
      <c r="B137" s="362">
        <v>4122</v>
      </c>
      <c r="C137" s="362">
        <v>240</v>
      </c>
      <c r="D137" s="362"/>
      <c r="E137" s="160" t="s">
        <v>466</v>
      </c>
      <c r="F137" s="237"/>
      <c r="G137" s="399"/>
      <c r="H137" s="364"/>
      <c r="I137" s="364"/>
      <c r="J137" s="363"/>
      <c r="K137" s="364"/>
      <c r="L137" s="363"/>
      <c r="M137" s="119"/>
    </row>
    <row r="138" spans="1:14" s="366" customFormat="1" x14ac:dyDescent="0.2">
      <c r="A138" s="106"/>
      <c r="B138" s="29">
        <v>4122</v>
      </c>
      <c r="C138" s="362">
        <v>249</v>
      </c>
      <c r="D138" s="29"/>
      <c r="E138" s="160" t="s">
        <v>454</v>
      </c>
      <c r="F138" s="237"/>
      <c r="G138" s="399"/>
      <c r="H138" s="72">
        <f t="shared" si="19"/>
        <v>0</v>
      </c>
      <c r="I138" s="364"/>
      <c r="J138" s="34"/>
      <c r="K138" s="72"/>
      <c r="L138" s="363"/>
      <c r="M138" s="119"/>
    </row>
    <row r="139" spans="1:14" s="328" customFormat="1" x14ac:dyDescent="0.2">
      <c r="A139" s="106"/>
      <c r="B139" s="29">
        <v>4122</v>
      </c>
      <c r="C139" s="362" t="s">
        <v>431</v>
      </c>
      <c r="D139" s="29"/>
      <c r="E139" s="160" t="s">
        <v>430</v>
      </c>
      <c r="F139" s="237"/>
      <c r="G139" s="399"/>
      <c r="H139" s="72">
        <f t="shared" si="19"/>
        <v>0</v>
      </c>
      <c r="I139" s="364"/>
      <c r="J139" s="34"/>
      <c r="K139" s="72"/>
      <c r="L139" s="363"/>
      <c r="M139" s="119"/>
    </row>
    <row r="140" spans="1:14" s="328" customFormat="1" x14ac:dyDescent="0.2">
      <c r="A140" s="106"/>
      <c r="B140" s="29">
        <v>4122</v>
      </c>
      <c r="C140" s="362">
        <v>301</v>
      </c>
      <c r="D140" s="108" t="s">
        <v>542</v>
      </c>
      <c r="E140" s="160" t="s">
        <v>536</v>
      </c>
      <c r="F140" s="237"/>
      <c r="G140" s="399">
        <v>24.4755</v>
      </c>
      <c r="H140" s="72">
        <f t="shared" si="19"/>
        <v>24.4755</v>
      </c>
      <c r="I140" s="364">
        <v>24.4755</v>
      </c>
      <c r="J140" s="363"/>
      <c r="K140" s="72">
        <f>3.67132+20.80418</f>
        <v>24.4755</v>
      </c>
      <c r="L140" s="363"/>
      <c r="M140" s="119"/>
    </row>
    <row r="141" spans="1:14" s="328" customFormat="1" x14ac:dyDescent="0.2">
      <c r="A141" s="106"/>
      <c r="B141" s="29">
        <v>4122</v>
      </c>
      <c r="C141" s="362">
        <v>307</v>
      </c>
      <c r="D141" s="29">
        <v>13305</v>
      </c>
      <c r="E141" s="160" t="s">
        <v>374</v>
      </c>
      <c r="F141" s="237"/>
      <c r="G141" s="399">
        <f>883.607+3184.712+3582.894</f>
        <v>7651.2129999999997</v>
      </c>
      <c r="H141" s="72">
        <f t="shared" si="19"/>
        <v>7651.2129999999997</v>
      </c>
      <c r="I141" s="364">
        <v>883.60699999999997</v>
      </c>
      <c r="J141" s="363"/>
      <c r="K141" s="72">
        <v>7651.2129999999997</v>
      </c>
      <c r="L141" s="363">
        <f t="shared" si="20"/>
        <v>100</v>
      </c>
      <c r="M141" s="119"/>
    </row>
    <row r="142" spans="1:14" s="328" customFormat="1" x14ac:dyDescent="0.2">
      <c r="A142" s="106"/>
      <c r="B142" s="29">
        <v>4122</v>
      </c>
      <c r="C142" s="362">
        <v>320</v>
      </c>
      <c r="D142" s="29"/>
      <c r="E142" s="160" t="s">
        <v>408</v>
      </c>
      <c r="F142" s="237"/>
      <c r="G142" s="399"/>
      <c r="H142" s="72">
        <f t="shared" si="19"/>
        <v>0</v>
      </c>
      <c r="I142" s="364"/>
      <c r="J142" s="363"/>
      <c r="K142" s="72"/>
      <c r="L142" s="363"/>
      <c r="M142" s="119"/>
    </row>
    <row r="143" spans="1:14" s="328" customFormat="1" x14ac:dyDescent="0.2">
      <c r="A143" s="106"/>
      <c r="B143" s="29">
        <v>4122</v>
      </c>
      <c r="C143" s="362">
        <v>227</v>
      </c>
      <c r="D143" s="29">
        <v>13305</v>
      </c>
      <c r="E143" s="281" t="s">
        <v>306</v>
      </c>
      <c r="F143" s="237">
        <v>3200</v>
      </c>
      <c r="G143" s="399">
        <f>57.795</f>
        <v>57.795000000000002</v>
      </c>
      <c r="H143" s="72">
        <f t="shared" si="19"/>
        <v>3257.7950000000001</v>
      </c>
      <c r="I143" s="364">
        <v>644.49</v>
      </c>
      <c r="J143" s="363">
        <f t="shared" si="21"/>
        <v>19.783012743281883</v>
      </c>
      <c r="K143" s="72">
        <v>3257.7950000000001</v>
      </c>
      <c r="L143" s="363">
        <f t="shared" si="20"/>
        <v>100</v>
      </c>
      <c r="M143" s="119"/>
    </row>
    <row r="144" spans="1:14" x14ac:dyDescent="0.2">
      <c r="A144" s="106"/>
      <c r="B144" s="29">
        <v>4132</v>
      </c>
      <c r="C144" s="362"/>
      <c r="D144" s="29"/>
      <c r="E144" s="29" t="s">
        <v>397</v>
      </c>
      <c r="F144" s="237"/>
      <c r="G144" s="399"/>
      <c r="H144" s="72">
        <f t="shared" si="19"/>
        <v>0</v>
      </c>
      <c r="I144" s="364">
        <v>90.778999999999996</v>
      </c>
      <c r="J144" s="34"/>
      <c r="K144" s="364">
        <v>90.778999999999996</v>
      </c>
      <c r="L144" s="363"/>
      <c r="M144" s="240"/>
      <c r="N144" s="109"/>
    </row>
    <row r="145" spans="1:16" ht="13.5" customHeight="1" x14ac:dyDescent="0.2">
      <c r="A145" s="95" t="s">
        <v>52</v>
      </c>
      <c r="B145" s="32"/>
      <c r="C145" s="32"/>
      <c r="D145" s="32"/>
      <c r="E145" s="32"/>
      <c r="F145" s="376">
        <f>SUM(F146:F151)</f>
        <v>0</v>
      </c>
      <c r="G145" s="397">
        <f>SUM(G146:G151)</f>
        <v>0</v>
      </c>
      <c r="H145" s="73">
        <f>SUM(H146:H151)</f>
        <v>0</v>
      </c>
      <c r="I145" s="73"/>
      <c r="J145" s="31"/>
      <c r="K145" s="73"/>
      <c r="L145" s="31"/>
      <c r="M145" s="108"/>
    </row>
    <row r="146" spans="1:16" x14ac:dyDescent="0.2">
      <c r="A146" s="95"/>
      <c r="B146" s="33">
        <v>4216</v>
      </c>
      <c r="C146" s="362">
        <v>4169</v>
      </c>
      <c r="D146" s="33"/>
      <c r="E146" s="160" t="s">
        <v>381</v>
      </c>
      <c r="F146" s="376"/>
      <c r="G146" s="404"/>
      <c r="H146" s="72">
        <f t="shared" ref="H146:H151" si="22">SUM(F146:G146)</f>
        <v>0</v>
      </c>
      <c r="I146" s="237"/>
      <c r="J146" s="34"/>
      <c r="K146" s="237"/>
      <c r="L146" s="363"/>
      <c r="M146" s="119"/>
    </row>
    <row r="147" spans="1:16" s="328" customFormat="1" x14ac:dyDescent="0.2">
      <c r="A147" s="95"/>
      <c r="B147" s="33">
        <v>4216</v>
      </c>
      <c r="C147" s="362">
        <v>250</v>
      </c>
      <c r="D147" s="33"/>
      <c r="E147" s="160" t="s">
        <v>385</v>
      </c>
      <c r="F147" s="376"/>
      <c r="G147" s="404"/>
      <c r="H147" s="72">
        <f t="shared" si="22"/>
        <v>0</v>
      </c>
      <c r="I147" s="237"/>
      <c r="J147" s="34"/>
      <c r="K147" s="237"/>
      <c r="L147" s="363"/>
      <c r="M147" s="119"/>
    </row>
    <row r="148" spans="1:16" s="328" customFormat="1" x14ac:dyDescent="0.2">
      <c r="A148" s="95"/>
      <c r="B148" s="33">
        <v>4222</v>
      </c>
      <c r="C148" s="362">
        <v>46</v>
      </c>
      <c r="D148" s="33"/>
      <c r="E148" s="160" t="s">
        <v>428</v>
      </c>
      <c r="F148" s="376"/>
      <c r="G148" s="404"/>
      <c r="H148" s="72">
        <f t="shared" si="22"/>
        <v>0</v>
      </c>
      <c r="I148" s="237"/>
      <c r="J148" s="34"/>
      <c r="K148" s="237"/>
      <c r="L148" s="363"/>
      <c r="M148" s="119"/>
    </row>
    <row r="149" spans="1:16" s="328" customFormat="1" x14ac:dyDescent="0.2">
      <c r="A149" s="95"/>
      <c r="B149" s="33">
        <v>4222</v>
      </c>
      <c r="C149" s="362">
        <v>223</v>
      </c>
      <c r="D149" s="33"/>
      <c r="E149" s="160" t="s">
        <v>415</v>
      </c>
      <c r="F149" s="376"/>
      <c r="G149" s="404"/>
      <c r="H149" s="72">
        <f t="shared" si="22"/>
        <v>0</v>
      </c>
      <c r="I149" s="237"/>
      <c r="J149" s="34"/>
      <c r="K149" s="237"/>
      <c r="L149" s="363"/>
      <c r="M149" s="119"/>
    </row>
    <row r="150" spans="1:16" s="328" customFormat="1" x14ac:dyDescent="0.2">
      <c r="A150" s="95"/>
      <c r="B150" s="33">
        <v>4216</v>
      </c>
      <c r="C150" s="362">
        <v>280</v>
      </c>
      <c r="D150" s="33"/>
      <c r="E150" s="160" t="s">
        <v>376</v>
      </c>
      <c r="F150" s="376">
        <v>0</v>
      </c>
      <c r="G150" s="404"/>
      <c r="H150" s="72">
        <f t="shared" si="22"/>
        <v>0</v>
      </c>
      <c r="I150" s="73"/>
      <c r="J150" s="34"/>
      <c r="K150" s="237"/>
      <c r="L150" s="363"/>
      <c r="M150" s="119"/>
    </row>
    <row r="151" spans="1:16" s="328" customFormat="1" ht="13.5" thickBot="1" x14ac:dyDescent="0.25">
      <c r="A151" s="95"/>
      <c r="B151" s="33">
        <v>4216</v>
      </c>
      <c r="C151" s="362">
        <v>324</v>
      </c>
      <c r="D151" s="33"/>
      <c r="E151" s="160" t="s">
        <v>377</v>
      </c>
      <c r="F151" s="376"/>
      <c r="G151" s="404"/>
      <c r="H151" s="72">
        <f t="shared" si="22"/>
        <v>0</v>
      </c>
      <c r="I151" s="73"/>
      <c r="J151" s="34"/>
      <c r="K151" s="237"/>
      <c r="L151" s="363"/>
      <c r="M151" s="119"/>
      <c r="N151" s="113"/>
    </row>
    <row r="152" spans="1:16" s="328" customFormat="1" ht="16.5" thickBot="1" x14ac:dyDescent="0.3">
      <c r="A152" s="111" t="s">
        <v>53</v>
      </c>
      <c r="B152" s="114"/>
      <c r="C152" s="114"/>
      <c r="D152" s="114"/>
      <c r="E152" s="114"/>
      <c r="F152" s="115">
        <f>SUM(F107+F145)</f>
        <v>33800</v>
      </c>
      <c r="G152" s="405">
        <f>SUM(G107+G145)</f>
        <v>8324.4621900000002</v>
      </c>
      <c r="H152" s="115">
        <f>SUM(H107+H145)</f>
        <v>42124.462189999998</v>
      </c>
      <c r="I152" s="115">
        <f>SUM(I107+I145)</f>
        <v>8173.459499999999</v>
      </c>
      <c r="J152" s="37">
        <f t="shared" ref="J152:J153" si="23">I152/$H152*100</f>
        <v>19.403118936294245</v>
      </c>
      <c r="K152" s="115">
        <f>SUM(K107+K145)</f>
        <v>28998.472689999999</v>
      </c>
      <c r="L152" s="37">
        <f>K152/$H152*100</f>
        <v>68.839983188874982</v>
      </c>
      <c r="M152" s="115"/>
    </row>
    <row r="153" spans="1:16" ht="14.25" customHeight="1" x14ac:dyDescent="0.25">
      <c r="A153" s="40" t="s">
        <v>11</v>
      </c>
      <c r="B153" s="41"/>
      <c r="C153" s="555"/>
      <c r="D153" s="42"/>
      <c r="E153" s="43"/>
      <c r="F153" s="120">
        <f>SUM(F37+F98+F105+F152)</f>
        <v>186382</v>
      </c>
      <c r="G153" s="120">
        <f>SUM(G37+G98+G105+G152)</f>
        <v>8670.4621900000002</v>
      </c>
      <c r="H153" s="120">
        <f>SUM(H37+H98+H105+H152)</f>
        <v>195052.46218999999</v>
      </c>
      <c r="I153" s="120">
        <f>SUM(I37+I98+I105+I152)</f>
        <v>56938.235930000003</v>
      </c>
      <c r="J153" s="280">
        <f t="shared" si="23"/>
        <v>29.191241828332647</v>
      </c>
      <c r="K153" s="120">
        <f>SUM(K37+K98+K105+K152)</f>
        <v>113795.27705999999</v>
      </c>
      <c r="L153" s="280">
        <f>K153/$H153*100</f>
        <v>58.340856496931771</v>
      </c>
      <c r="M153" s="190"/>
      <c r="O153" s="525"/>
    </row>
    <row r="154" spans="1:16" ht="13.5" thickBot="1" x14ac:dyDescent="0.25">
      <c r="A154" s="104"/>
      <c r="B154" s="23"/>
      <c r="C154" s="23"/>
      <c r="D154" s="23"/>
      <c r="E154" s="23"/>
      <c r="F154" s="138"/>
      <c r="G154" s="138"/>
      <c r="H154" s="138"/>
      <c r="I154" s="138"/>
      <c r="J154" s="105"/>
      <c r="K154" s="138"/>
      <c r="L154" s="105"/>
      <c r="M154" s="180"/>
    </row>
    <row r="155" spans="1:16" ht="24" customHeight="1" thickBot="1" x14ac:dyDescent="0.25">
      <c r="A155" s="44"/>
      <c r="B155" s="45"/>
      <c r="C155" s="45"/>
      <c r="D155" s="45"/>
      <c r="E155" s="46"/>
      <c r="F155" s="139" t="s">
        <v>396</v>
      </c>
      <c r="G155" s="283" t="str">
        <f>G3</f>
        <v>Změna</v>
      </c>
      <c r="H155" s="139" t="s">
        <v>119</v>
      </c>
      <c r="I155" s="335" t="str">
        <f>I3</f>
        <v>1.Q.2022</v>
      </c>
      <c r="J155" s="238" t="s">
        <v>4</v>
      </c>
      <c r="K155" s="335" t="str">
        <f>K3</f>
        <v>2.Q.2022</v>
      </c>
      <c r="L155" s="559" t="s">
        <v>4</v>
      </c>
      <c r="M155" s="191"/>
    </row>
    <row r="156" spans="1:16" x14ac:dyDescent="0.2">
      <c r="A156" s="44" t="s">
        <v>54</v>
      </c>
      <c r="B156" s="23"/>
      <c r="C156" s="23"/>
      <c r="D156" s="23"/>
      <c r="E156" s="63" t="s">
        <v>55</v>
      </c>
      <c r="F156" s="230">
        <f>F37</f>
        <v>103445</v>
      </c>
      <c r="G156" s="230">
        <f>G37</f>
        <v>196</v>
      </c>
      <c r="H156" s="230">
        <f>H37</f>
        <v>103641</v>
      </c>
      <c r="I156" s="230">
        <f>I37</f>
        <v>32785.465900000003</v>
      </c>
      <c r="J156" s="39">
        <f t="shared" ref="J156:J162" si="24">I156/$H156*100</f>
        <v>31.63368348433535</v>
      </c>
      <c r="K156" s="230">
        <f>K37</f>
        <v>62314.661700000004</v>
      </c>
      <c r="L156" s="39">
        <f t="shared" ref="L156:L162" si="25">K156/$H156*100</f>
        <v>60.125492517440016</v>
      </c>
      <c r="M156" s="192"/>
    </row>
    <row r="157" spans="1:16" x14ac:dyDescent="0.2">
      <c r="A157" s="104"/>
      <c r="B157" s="23"/>
      <c r="C157" s="23"/>
      <c r="D157" s="23"/>
      <c r="E157" s="63" t="s">
        <v>56</v>
      </c>
      <c r="F157" s="230">
        <f>F98</f>
        <v>31040</v>
      </c>
      <c r="G157" s="230">
        <f>G98</f>
        <v>0</v>
      </c>
      <c r="H157" s="47">
        <f>H98</f>
        <v>31040</v>
      </c>
      <c r="I157" s="230">
        <f>I98</f>
        <v>7779.3105299999997</v>
      </c>
      <c r="J157" s="39">
        <f t="shared" si="24"/>
        <v>25.06221175902062</v>
      </c>
      <c r="K157" s="230">
        <f>K98</f>
        <v>14282.142669999999</v>
      </c>
      <c r="L157" s="39">
        <f t="shared" si="25"/>
        <v>46.012057570876287</v>
      </c>
      <c r="M157" s="193"/>
      <c r="P157" s="109"/>
    </row>
    <row r="158" spans="1:16" x14ac:dyDescent="0.2">
      <c r="A158" s="104"/>
      <c r="B158" s="23"/>
      <c r="C158" s="23"/>
      <c r="D158" s="23"/>
      <c r="E158" s="63" t="s">
        <v>57</v>
      </c>
      <c r="F158" s="136">
        <f>F107</f>
        <v>33800</v>
      </c>
      <c r="G158" s="136">
        <f>G107</f>
        <v>8324.4621900000002</v>
      </c>
      <c r="H158" s="136">
        <f>H107</f>
        <v>42124.462189999998</v>
      </c>
      <c r="I158" s="136">
        <f>I107</f>
        <v>8173.459499999999</v>
      </c>
      <c r="J158" s="39">
        <f t="shared" si="24"/>
        <v>19.403118936294245</v>
      </c>
      <c r="K158" s="136">
        <f>K107</f>
        <v>28998.472689999999</v>
      </c>
      <c r="L158" s="39">
        <f t="shared" si="25"/>
        <v>68.839983188874982</v>
      </c>
      <c r="M158" s="223"/>
      <c r="P158" s="109"/>
    </row>
    <row r="159" spans="1:16" x14ac:dyDescent="0.2">
      <c r="A159" s="104"/>
      <c r="B159" s="23"/>
      <c r="C159" s="23"/>
      <c r="D159" s="23"/>
      <c r="E159" s="116" t="s">
        <v>58</v>
      </c>
      <c r="F159" s="148">
        <f>SUM(F156:F158)</f>
        <v>168285</v>
      </c>
      <c r="G159" s="148">
        <f>SUM(G156:G158)</f>
        <v>8520.4621900000002</v>
      </c>
      <c r="H159" s="148">
        <f>SUM(H156:H158)</f>
        <v>176805.46218999999</v>
      </c>
      <c r="I159" s="148">
        <f>SUM(I156:I158)</f>
        <v>48738.235930000003</v>
      </c>
      <c r="J159" s="161">
        <f t="shared" si="24"/>
        <v>27.566023880882458</v>
      </c>
      <c r="K159" s="148">
        <f>SUM(K156:K158)</f>
        <v>105595.27705999999</v>
      </c>
      <c r="L159" s="161">
        <f t="shared" si="25"/>
        <v>59.723990284035686</v>
      </c>
      <c r="M159" s="194"/>
      <c r="P159" s="109"/>
    </row>
    <row r="160" spans="1:16" x14ac:dyDescent="0.2">
      <c r="A160" s="104"/>
      <c r="B160" s="23"/>
      <c r="C160" s="23"/>
      <c r="D160" s="23"/>
      <c r="E160" s="63" t="s">
        <v>59</v>
      </c>
      <c r="F160" s="137">
        <f>F105</f>
        <v>18097</v>
      </c>
      <c r="G160" s="137">
        <f>G105</f>
        <v>150</v>
      </c>
      <c r="H160" s="137">
        <f>H105</f>
        <v>18247</v>
      </c>
      <c r="I160" s="137">
        <f>I105</f>
        <v>8200</v>
      </c>
      <c r="J160" s="39">
        <f t="shared" si="24"/>
        <v>44.93889406477777</v>
      </c>
      <c r="K160" s="137">
        <f>K105</f>
        <v>8200</v>
      </c>
      <c r="L160" s="39">
        <f t="shared" si="25"/>
        <v>44.93889406477777</v>
      </c>
      <c r="M160" s="192" t="s">
        <v>1</v>
      </c>
      <c r="P160" s="109"/>
    </row>
    <row r="161" spans="1:16" x14ac:dyDescent="0.2">
      <c r="A161" s="104"/>
      <c r="B161" s="23"/>
      <c r="C161" s="23"/>
      <c r="D161" s="23"/>
      <c r="E161" s="63" t="s">
        <v>60</v>
      </c>
      <c r="F161" s="137">
        <f>F145</f>
        <v>0</v>
      </c>
      <c r="G161" s="137">
        <f>G145</f>
        <v>0</v>
      </c>
      <c r="H161" s="137">
        <f>H145</f>
        <v>0</v>
      </c>
      <c r="I161" s="137">
        <f>I145</f>
        <v>0</v>
      </c>
      <c r="J161" s="39" t="s">
        <v>438</v>
      </c>
      <c r="K161" s="137">
        <f>K145</f>
        <v>0</v>
      </c>
      <c r="L161" s="39"/>
      <c r="M161" s="192"/>
      <c r="P161" s="109"/>
    </row>
    <row r="162" spans="1:16" ht="13.5" thickBot="1" x14ac:dyDescent="0.25">
      <c r="A162" s="117"/>
      <c r="B162" s="23"/>
      <c r="C162" s="23"/>
      <c r="D162" s="23"/>
      <c r="E162" s="118" t="s">
        <v>61</v>
      </c>
      <c r="F162" s="231">
        <f>SUM(F159:F161)</f>
        <v>186382</v>
      </c>
      <c r="G162" s="231">
        <f>SUM(G159:G161)</f>
        <v>8670.4621900000002</v>
      </c>
      <c r="H162" s="441">
        <f>SUM(H159:H161)</f>
        <v>195052.46218999999</v>
      </c>
      <c r="I162" s="231">
        <f>SUM(I159:I161)</f>
        <v>56938.235930000003</v>
      </c>
      <c r="J162" s="48">
        <f t="shared" si="24"/>
        <v>29.191241828332647</v>
      </c>
      <c r="K162" s="231">
        <f>SUM(K159:K161)</f>
        <v>113795.27705999999</v>
      </c>
      <c r="L162" s="48">
        <f t="shared" si="25"/>
        <v>58.340856496931771</v>
      </c>
      <c r="M162" s="195"/>
      <c r="P162" s="109"/>
    </row>
    <row r="163" spans="1:16" x14ac:dyDescent="0.2">
      <c r="E163" s="291"/>
      <c r="G163" s="135"/>
      <c r="I163" s="351"/>
      <c r="J163" s="113"/>
      <c r="K163" s="135"/>
      <c r="P163" s="109"/>
    </row>
    <row r="164" spans="1:16" x14ac:dyDescent="0.2">
      <c r="E164" s="291"/>
      <c r="G164" s="135"/>
      <c r="I164" s="351"/>
      <c r="J164" s="113"/>
      <c r="K164" s="135"/>
    </row>
    <row r="165" spans="1:16" x14ac:dyDescent="0.2">
      <c r="E165" s="291"/>
      <c r="G165" s="135"/>
      <c r="I165" s="351"/>
      <c r="J165" s="113"/>
      <c r="K165" s="135"/>
    </row>
    <row r="166" spans="1:16" x14ac:dyDescent="0.2">
      <c r="E166" s="291"/>
      <c r="G166" s="135"/>
      <c r="I166" s="351"/>
      <c r="J166" s="113"/>
      <c r="K166" s="135"/>
    </row>
    <row r="167" spans="1:16" x14ac:dyDescent="0.2">
      <c r="E167" s="291"/>
    </row>
    <row r="168" spans="1:16" x14ac:dyDescent="0.2">
      <c r="E168" s="291"/>
      <c r="H168" s="527"/>
    </row>
    <row r="169" spans="1:16" x14ac:dyDescent="0.2">
      <c r="E169" s="291"/>
      <c r="H169" s="527"/>
    </row>
    <row r="170" spans="1:16" x14ac:dyDescent="0.2">
      <c r="E170" s="526"/>
      <c r="H170" s="527"/>
    </row>
    <row r="171" spans="1:16" x14ac:dyDescent="0.2">
      <c r="H171" s="527"/>
    </row>
    <row r="172" spans="1:16" x14ac:dyDescent="0.2">
      <c r="E172" s="291"/>
      <c r="H172" s="527"/>
    </row>
    <row r="173" spans="1:16" x14ac:dyDescent="0.2">
      <c r="H173" s="527"/>
    </row>
    <row r="174" spans="1:16" x14ac:dyDescent="0.2">
      <c r="H174" s="527"/>
    </row>
    <row r="175" spans="1:16" x14ac:dyDescent="0.2">
      <c r="H175" s="527"/>
    </row>
    <row r="176" spans="1:16" x14ac:dyDescent="0.2">
      <c r="H176" s="527"/>
    </row>
  </sheetData>
  <sortState ref="A112:AH113">
    <sortCondition ref="C112:C113"/>
  </sortState>
  <phoneticPr fontId="6" type="noConversion"/>
  <pageMargins left="0.39370078740157483" right="0.15748031496062992" top="0.78740157480314965" bottom="0.27559055118110237" header="0.19685039370078741" footer="0.15748031496062992"/>
  <pageSetup paperSize="9" scale="85" fitToHeight="0" orientation="landscape" r:id="rId1"/>
  <headerFooter alignWithMargins="0"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FE878"/>
  <sheetViews>
    <sheetView zoomScale="112" zoomScaleNormal="112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7.85546875" defaultRowHeight="12.75" x14ac:dyDescent="0.2"/>
  <cols>
    <col min="1" max="1" width="3.28515625" style="94" customWidth="1"/>
    <col min="2" max="2" width="4.85546875" style="97" customWidth="1"/>
    <col min="3" max="3" width="7.42578125" style="97" customWidth="1"/>
    <col min="4" max="4" width="31.140625" style="169" customWidth="1"/>
    <col min="5" max="5" width="6.5703125" style="328" customWidth="1"/>
    <col min="6" max="6" width="6.85546875" style="328" customWidth="1"/>
    <col min="7" max="7" width="9.7109375" style="113" bestFit="1" customWidth="1"/>
    <col min="8" max="8" width="6.140625" style="151" customWidth="1"/>
    <col min="9" max="9" width="5.7109375" style="151" customWidth="1"/>
    <col min="10" max="10" width="6.85546875" style="113" customWidth="1"/>
    <col min="11" max="11" width="6.140625" style="113" customWidth="1"/>
    <col min="12" max="12" width="9.7109375" style="113" bestFit="1" customWidth="1"/>
    <col min="13" max="13" width="6.5703125" style="94" hidden="1" customWidth="1"/>
    <col min="14" max="14" width="6.85546875" style="94" hidden="1" customWidth="1"/>
    <col min="15" max="15" width="6.85546875" style="113" hidden="1" customWidth="1"/>
    <col min="16" max="16" width="5.140625" style="113" hidden="1" customWidth="1"/>
    <col min="17" max="17" width="7.5703125" style="94" customWidth="1"/>
    <col min="18" max="18" width="7.28515625" style="94" customWidth="1"/>
    <col min="19" max="19" width="6.85546875" style="113" bestFit="1" customWidth="1"/>
    <col min="20" max="20" width="7.85546875" style="113" customWidth="1"/>
    <col min="21" max="21" width="19.5703125" style="392" customWidth="1"/>
    <col min="22" max="22" width="6.7109375" style="22" hidden="1" customWidth="1"/>
    <col min="23" max="23" width="8.140625" style="22" hidden="1" customWidth="1"/>
    <col min="24" max="24" width="7.85546875" style="94" customWidth="1"/>
    <col min="25" max="25" width="7.85546875" style="94"/>
    <col min="26" max="26" width="8.28515625" style="94" bestFit="1" customWidth="1"/>
    <col min="27" max="16384" width="7.85546875" style="94"/>
  </cols>
  <sheetData>
    <row r="1" spans="1:23" ht="18.75" thickBot="1" x14ac:dyDescent="0.3">
      <c r="A1" s="103" t="s">
        <v>559</v>
      </c>
      <c r="B1" s="199"/>
      <c r="C1" s="199"/>
      <c r="D1" s="198"/>
      <c r="E1" s="198"/>
      <c r="F1" s="198"/>
      <c r="G1" s="199"/>
      <c r="H1" s="199"/>
      <c r="I1" s="199"/>
      <c r="J1" s="199"/>
      <c r="K1" s="199"/>
      <c r="L1" s="199"/>
      <c r="M1" s="198"/>
      <c r="N1" s="198"/>
      <c r="O1" s="199"/>
      <c r="P1" s="199"/>
      <c r="Q1" s="198"/>
      <c r="R1" s="198"/>
      <c r="S1" s="199"/>
      <c r="T1" s="199"/>
      <c r="U1" s="381"/>
      <c r="V1" s="23"/>
      <c r="W1" s="97"/>
    </row>
    <row r="2" spans="1:23" x14ac:dyDescent="0.2">
      <c r="A2" s="123"/>
      <c r="B2" s="98"/>
      <c r="C2" s="98"/>
      <c r="D2" s="309"/>
      <c r="E2" s="144"/>
      <c r="F2" s="144" t="s">
        <v>398</v>
      </c>
      <c r="G2" s="144"/>
      <c r="H2" s="568" t="s">
        <v>3</v>
      </c>
      <c r="I2" s="569"/>
      <c r="J2" s="248"/>
      <c r="K2" s="49" t="s">
        <v>120</v>
      </c>
      <c r="L2" s="144"/>
      <c r="M2" s="144"/>
      <c r="N2" s="144" t="s">
        <v>528</v>
      </c>
      <c r="O2" s="144"/>
      <c r="P2" s="144"/>
      <c r="Q2" s="144"/>
      <c r="R2" s="144" t="s">
        <v>529</v>
      </c>
      <c r="S2" s="144"/>
      <c r="T2" s="144"/>
      <c r="U2" s="382"/>
      <c r="V2" s="274"/>
      <c r="W2" s="345"/>
    </row>
    <row r="3" spans="1:23" x14ac:dyDescent="0.2">
      <c r="A3" s="90"/>
      <c r="B3" s="32"/>
      <c r="C3" s="32"/>
      <c r="D3" s="459"/>
      <c r="E3" s="458">
        <v>2022</v>
      </c>
      <c r="F3" s="51">
        <v>2022</v>
      </c>
      <c r="G3" s="89">
        <v>2022</v>
      </c>
      <c r="H3" s="406">
        <v>2021</v>
      </c>
      <c r="I3" s="407">
        <v>2021</v>
      </c>
      <c r="J3" s="50">
        <v>2022</v>
      </c>
      <c r="K3" s="51">
        <v>2022</v>
      </c>
      <c r="L3" s="89">
        <v>2022</v>
      </c>
      <c r="M3" s="50">
        <v>2022</v>
      </c>
      <c r="N3" s="51">
        <v>2022</v>
      </c>
      <c r="O3" s="89">
        <v>2022</v>
      </c>
      <c r="P3" s="89"/>
      <c r="Q3" s="50">
        <v>2022</v>
      </c>
      <c r="R3" s="51">
        <v>2022</v>
      </c>
      <c r="S3" s="89">
        <v>2022</v>
      </c>
      <c r="T3" s="89"/>
      <c r="U3" s="383"/>
      <c r="V3" s="232" t="s">
        <v>176</v>
      </c>
      <c r="W3" s="275" t="s">
        <v>185</v>
      </c>
    </row>
    <row r="4" spans="1:23" ht="13.5" thickBot="1" x14ac:dyDescent="0.25">
      <c r="A4" s="52" t="s">
        <v>62</v>
      </c>
      <c r="B4" s="27" t="s">
        <v>21</v>
      </c>
      <c r="C4" s="27" t="s">
        <v>550</v>
      </c>
      <c r="D4" s="460" t="s">
        <v>63</v>
      </c>
      <c r="E4" s="234" t="s">
        <v>64</v>
      </c>
      <c r="F4" s="27" t="s">
        <v>65</v>
      </c>
      <c r="G4" s="53" t="s">
        <v>66</v>
      </c>
      <c r="H4" s="408" t="s">
        <v>64</v>
      </c>
      <c r="I4" s="409" t="s">
        <v>65</v>
      </c>
      <c r="J4" s="234" t="s">
        <v>64</v>
      </c>
      <c r="K4" s="27" t="s">
        <v>65</v>
      </c>
      <c r="L4" s="53" t="s">
        <v>66</v>
      </c>
      <c r="M4" s="234" t="s">
        <v>64</v>
      </c>
      <c r="N4" s="27" t="s">
        <v>65</v>
      </c>
      <c r="O4" s="53" t="s">
        <v>66</v>
      </c>
      <c r="P4" s="53" t="s">
        <v>4</v>
      </c>
      <c r="Q4" s="234" t="s">
        <v>64</v>
      </c>
      <c r="R4" s="27" t="s">
        <v>65</v>
      </c>
      <c r="S4" s="53" t="s">
        <v>66</v>
      </c>
      <c r="T4" s="53" t="s">
        <v>4</v>
      </c>
      <c r="U4" s="384" t="s">
        <v>253</v>
      </c>
      <c r="V4" s="233" t="s">
        <v>175</v>
      </c>
      <c r="W4" s="276" t="s">
        <v>179</v>
      </c>
    </row>
    <row r="5" spans="1:23" x14ac:dyDescent="0.2">
      <c r="A5" s="124">
        <v>10</v>
      </c>
      <c r="B5" s="68"/>
      <c r="C5" s="68"/>
      <c r="D5" s="461" t="s">
        <v>67</v>
      </c>
      <c r="E5" s="54">
        <f>SUM(E6:E7)</f>
        <v>1283</v>
      </c>
      <c r="F5" s="55">
        <f>SUM(F6:F7)</f>
        <v>105</v>
      </c>
      <c r="G5" s="146">
        <f>SUM(G6:G7)</f>
        <v>1388</v>
      </c>
      <c r="H5" s="410">
        <f>SUM(H6:H7)</f>
        <v>65.557000000000002</v>
      </c>
      <c r="I5" s="411">
        <f t="shared" ref="I5" si="0">SUM(I6:I6)</f>
        <v>0</v>
      </c>
      <c r="J5" s="54">
        <f>SUM(J6:J7)</f>
        <v>1348.557</v>
      </c>
      <c r="K5" s="55">
        <f>SUM(K6:K7)</f>
        <v>105</v>
      </c>
      <c r="L5" s="146">
        <f>SUM(L6:L7)</f>
        <v>1453.557</v>
      </c>
      <c r="M5" s="54">
        <f>SUM(M6:M6)</f>
        <v>167.63663</v>
      </c>
      <c r="N5" s="55">
        <f>SUM(N6:N6)</f>
        <v>0</v>
      </c>
      <c r="O5" s="146">
        <f>SUM(O6:O6)</f>
        <v>167.63663</v>
      </c>
      <c r="P5" s="528">
        <f>O5/$L5*100</f>
        <v>11.53285560868958</v>
      </c>
      <c r="Q5" s="54">
        <f>SUM(Q6:Q6)</f>
        <v>487.25708999999995</v>
      </c>
      <c r="R5" s="55">
        <f>SUM(R6:R6)</f>
        <v>100.465</v>
      </c>
      <c r="S5" s="146">
        <f>SUM(S6:S6)</f>
        <v>587.72208999999998</v>
      </c>
      <c r="T5" s="561">
        <f>S5/$L5*100</f>
        <v>40.4333706899695</v>
      </c>
      <c r="U5" s="385"/>
      <c r="V5" s="56"/>
      <c r="W5" s="85"/>
    </row>
    <row r="6" spans="1:23" x14ac:dyDescent="0.2">
      <c r="A6" s="125"/>
      <c r="B6" s="362">
        <v>1031</v>
      </c>
      <c r="C6" s="362">
        <v>201</v>
      </c>
      <c r="D6" s="452" t="s">
        <v>210</v>
      </c>
      <c r="E6" s="47">
        <f>630+653</f>
        <v>1283</v>
      </c>
      <c r="F6" s="300">
        <v>105</v>
      </c>
      <c r="G6" s="58">
        <f>E6+F6</f>
        <v>1388</v>
      </c>
      <c r="H6" s="412">
        <f>65.557</f>
        <v>65.557000000000002</v>
      </c>
      <c r="I6" s="413"/>
      <c r="J6" s="47">
        <f>E6+H6</f>
        <v>1348.557</v>
      </c>
      <c r="K6" s="362">
        <f>F6+I6</f>
        <v>105</v>
      </c>
      <c r="L6" s="58">
        <f>SUM(J6:K6)</f>
        <v>1453.557</v>
      </c>
      <c r="M6" s="47">
        <v>167.63663</v>
      </c>
      <c r="N6" s="300"/>
      <c r="O6" s="58">
        <f>M6+N6</f>
        <v>167.63663</v>
      </c>
      <c r="P6" s="529">
        <f>O6/$L6*100</f>
        <v>11.53285560868958</v>
      </c>
      <c r="Q6" s="47">
        <v>487.25708999999995</v>
      </c>
      <c r="R6" s="300">
        <v>100.465</v>
      </c>
      <c r="S6" s="58">
        <f>Q6+R6</f>
        <v>587.72208999999998</v>
      </c>
      <c r="T6" s="562">
        <f>S6/$L6*100</f>
        <v>40.4333706899695</v>
      </c>
      <c r="U6" s="386"/>
      <c r="V6" s="212" t="s">
        <v>313</v>
      </c>
      <c r="W6" s="201" t="s">
        <v>68</v>
      </c>
    </row>
    <row r="7" spans="1:23" s="328" customFormat="1" x14ac:dyDescent="0.2">
      <c r="A7" s="125"/>
      <c r="B7" s="362">
        <v>1036</v>
      </c>
      <c r="C7" s="362">
        <v>109</v>
      </c>
      <c r="D7" s="452" t="s">
        <v>434</v>
      </c>
      <c r="E7" s="47"/>
      <c r="F7" s="300"/>
      <c r="G7" s="58"/>
      <c r="H7" s="412"/>
      <c r="I7" s="413"/>
      <c r="J7" s="47">
        <f>E7+H7</f>
        <v>0</v>
      </c>
      <c r="K7" s="362">
        <f>F7+I7</f>
        <v>0</v>
      </c>
      <c r="L7" s="58">
        <f>SUM(J7:K7)</f>
        <v>0</v>
      </c>
      <c r="M7" s="47"/>
      <c r="N7" s="300"/>
      <c r="O7" s="58"/>
      <c r="P7" s="529"/>
      <c r="Q7" s="47"/>
      <c r="R7" s="300"/>
      <c r="S7" s="58"/>
      <c r="T7" s="562"/>
      <c r="U7" s="386"/>
      <c r="V7" s="212"/>
      <c r="W7" s="201"/>
    </row>
    <row r="8" spans="1:23" x14ac:dyDescent="0.2">
      <c r="A8" s="126">
        <v>21</v>
      </c>
      <c r="B8" s="24"/>
      <c r="C8" s="24"/>
      <c r="D8" s="453" t="s">
        <v>247</v>
      </c>
      <c r="E8" s="450">
        <f t="shared" ref="E8:G8" si="1">SUM(E9:E13)</f>
        <v>1125</v>
      </c>
      <c r="F8" s="60">
        <f t="shared" si="1"/>
        <v>475</v>
      </c>
      <c r="G8" s="61">
        <f t="shared" si="1"/>
        <v>1600</v>
      </c>
      <c r="H8" s="414">
        <f t="shared" ref="H8:L8" si="2">SUM(H9:H13)</f>
        <v>0</v>
      </c>
      <c r="I8" s="415">
        <f t="shared" si="2"/>
        <v>1132</v>
      </c>
      <c r="J8" s="59">
        <f t="shared" si="2"/>
        <v>1125</v>
      </c>
      <c r="K8" s="60">
        <f t="shared" si="2"/>
        <v>1607</v>
      </c>
      <c r="L8" s="61">
        <f t="shared" si="2"/>
        <v>2732</v>
      </c>
      <c r="M8" s="59">
        <f t="shared" ref="M8:O8" si="3">SUM(M9:M13)</f>
        <v>122.33177000000001</v>
      </c>
      <c r="N8" s="60">
        <f t="shared" si="3"/>
        <v>70.47</v>
      </c>
      <c r="O8" s="61">
        <f t="shared" si="3"/>
        <v>192.80176999999998</v>
      </c>
      <c r="P8" s="530">
        <f t="shared" ref="P8:P14" si="4">O8/$L8*100</f>
        <v>7.0571658125915064</v>
      </c>
      <c r="Q8" s="59">
        <f t="shared" ref="Q8:S8" si="5">SUM(Q9:Q13)</f>
        <v>265.52656999999999</v>
      </c>
      <c r="R8" s="60">
        <f t="shared" si="5"/>
        <v>70.47</v>
      </c>
      <c r="S8" s="61">
        <f t="shared" si="5"/>
        <v>335.99657000000002</v>
      </c>
      <c r="T8" s="563">
        <f t="shared" ref="T8:T65" si="6">S8/$L8*100</f>
        <v>12.29855673499268</v>
      </c>
      <c r="U8" s="387"/>
      <c r="V8" s="56"/>
      <c r="W8" s="85"/>
    </row>
    <row r="9" spans="1:23" x14ac:dyDescent="0.2">
      <c r="A9" s="63"/>
      <c r="B9" s="362">
        <v>2121</v>
      </c>
      <c r="C9" s="362">
        <v>20</v>
      </c>
      <c r="D9" s="452" t="s">
        <v>111</v>
      </c>
      <c r="E9" s="47"/>
      <c r="F9" s="16">
        <v>100</v>
      </c>
      <c r="G9" s="58">
        <f>E9+F9</f>
        <v>100</v>
      </c>
      <c r="H9" s="416"/>
      <c r="I9" s="413"/>
      <c r="J9" s="47">
        <f t="shared" ref="J9:K11" si="7">E9+H9</f>
        <v>0</v>
      </c>
      <c r="K9" s="362">
        <f t="shared" si="7"/>
        <v>100</v>
      </c>
      <c r="L9" s="58">
        <f>SUM(J9:K9)</f>
        <v>100</v>
      </c>
      <c r="M9" s="47">
        <v>0</v>
      </c>
      <c r="N9" s="16"/>
      <c r="O9" s="58">
        <f>M9+N9</f>
        <v>0</v>
      </c>
      <c r="P9" s="529">
        <f t="shared" si="4"/>
        <v>0</v>
      </c>
      <c r="Q9" s="47"/>
      <c r="R9" s="16"/>
      <c r="S9" s="58">
        <f>Q9+R9</f>
        <v>0</v>
      </c>
      <c r="T9" s="562">
        <f t="shared" si="6"/>
        <v>0</v>
      </c>
      <c r="U9" s="386"/>
      <c r="V9" s="212" t="s">
        <v>68</v>
      </c>
      <c r="W9" s="201" t="s">
        <v>137</v>
      </c>
    </row>
    <row r="10" spans="1:23" x14ac:dyDescent="0.2">
      <c r="A10" s="63"/>
      <c r="B10" s="362">
        <v>2121</v>
      </c>
      <c r="C10" s="362">
        <v>237</v>
      </c>
      <c r="D10" s="452" t="s">
        <v>192</v>
      </c>
      <c r="E10" s="47">
        <v>358</v>
      </c>
      <c r="F10" s="16"/>
      <c r="G10" s="58">
        <f>E10+F10</f>
        <v>358</v>
      </c>
      <c r="H10" s="416"/>
      <c r="I10" s="413"/>
      <c r="J10" s="47">
        <f t="shared" si="7"/>
        <v>358</v>
      </c>
      <c r="K10" s="362">
        <f t="shared" si="7"/>
        <v>0</v>
      </c>
      <c r="L10" s="58">
        <f>SUM(J10:K10)</f>
        <v>358</v>
      </c>
      <c r="M10" s="47">
        <v>54.688160000000003</v>
      </c>
      <c r="N10" s="16"/>
      <c r="O10" s="58">
        <f>M10+N10</f>
        <v>54.688160000000003</v>
      </c>
      <c r="P10" s="529">
        <f t="shared" si="4"/>
        <v>15.276022346368718</v>
      </c>
      <c r="Q10" s="47">
        <v>86.925160000000005</v>
      </c>
      <c r="R10" s="16"/>
      <c r="S10" s="58">
        <f>Q10+R10</f>
        <v>86.925160000000005</v>
      </c>
      <c r="T10" s="562">
        <f t="shared" si="6"/>
        <v>24.280770949720672</v>
      </c>
      <c r="U10" s="386"/>
      <c r="V10" s="212" t="s">
        <v>68</v>
      </c>
      <c r="W10" s="201" t="s">
        <v>137</v>
      </c>
    </row>
    <row r="11" spans="1:23" x14ac:dyDescent="0.2">
      <c r="A11" s="63"/>
      <c r="B11" s="362">
        <v>2141</v>
      </c>
      <c r="C11" s="362">
        <v>101</v>
      </c>
      <c r="D11" s="452" t="s">
        <v>435</v>
      </c>
      <c r="E11" s="47">
        <v>80</v>
      </c>
      <c r="F11" s="16"/>
      <c r="G11" s="58">
        <f>E11+F11</f>
        <v>80</v>
      </c>
      <c r="H11" s="416"/>
      <c r="I11" s="413"/>
      <c r="J11" s="47">
        <f t="shared" si="7"/>
        <v>80</v>
      </c>
      <c r="K11" s="362">
        <f t="shared" si="7"/>
        <v>0</v>
      </c>
      <c r="L11" s="58">
        <f>SUM(J11:K11)</f>
        <v>80</v>
      </c>
      <c r="M11" s="47">
        <v>2.2561100000000001</v>
      </c>
      <c r="N11" s="16"/>
      <c r="O11" s="58">
        <f>M11+N11</f>
        <v>2.2561100000000001</v>
      </c>
      <c r="P11" s="529">
        <f t="shared" si="4"/>
        <v>2.8201375</v>
      </c>
      <c r="Q11" s="47">
        <v>41.67991</v>
      </c>
      <c r="R11" s="16"/>
      <c r="S11" s="58">
        <f>Q11+R11</f>
        <v>41.67991</v>
      </c>
      <c r="T11" s="562">
        <f t="shared" si="6"/>
        <v>52.099887499999994</v>
      </c>
      <c r="U11" s="386"/>
      <c r="V11" s="212" t="s">
        <v>425</v>
      </c>
      <c r="W11" s="201" t="s">
        <v>137</v>
      </c>
    </row>
    <row r="12" spans="1:23" x14ac:dyDescent="0.2">
      <c r="A12" s="63"/>
      <c r="B12" s="362">
        <v>2144</v>
      </c>
      <c r="C12" s="362">
        <v>650</v>
      </c>
      <c r="D12" s="452" t="s">
        <v>188</v>
      </c>
      <c r="E12" s="47">
        <f>137+350</f>
        <v>487</v>
      </c>
      <c r="F12" s="16"/>
      <c r="G12" s="58">
        <f>E12+F12</f>
        <v>487</v>
      </c>
      <c r="H12" s="412"/>
      <c r="I12" s="413"/>
      <c r="J12" s="47">
        <f>E12+H12</f>
        <v>487</v>
      </c>
      <c r="K12" s="362"/>
      <c r="L12" s="58">
        <f>SUM(J12:K12)</f>
        <v>487</v>
      </c>
      <c r="M12" s="47">
        <v>27.877500000000001</v>
      </c>
      <c r="N12" s="16"/>
      <c r="O12" s="58">
        <f>M12+N12</f>
        <v>27.877500000000001</v>
      </c>
      <c r="P12" s="529">
        <f t="shared" si="4"/>
        <v>5.7243326488706368</v>
      </c>
      <c r="Q12" s="47">
        <v>99.411500000000004</v>
      </c>
      <c r="R12" s="16"/>
      <c r="S12" s="58">
        <f>Q12+R12</f>
        <v>99.411500000000004</v>
      </c>
      <c r="T12" s="562">
        <f t="shared" si="6"/>
        <v>20.413039014373719</v>
      </c>
      <c r="U12" s="386" t="s">
        <v>468</v>
      </c>
      <c r="V12" s="209" t="s">
        <v>272</v>
      </c>
      <c r="W12" s="202" t="s">
        <v>405</v>
      </c>
    </row>
    <row r="13" spans="1:23" x14ac:dyDescent="0.2">
      <c r="A13" s="63"/>
      <c r="B13" s="362">
        <v>2199</v>
      </c>
      <c r="C13" s="362">
        <v>912</v>
      </c>
      <c r="D13" s="452" t="s">
        <v>548</v>
      </c>
      <c r="E13" s="47">
        <v>200</v>
      </c>
      <c r="F13" s="16">
        <v>375</v>
      </c>
      <c r="G13" s="58">
        <f>E13+F13</f>
        <v>575</v>
      </c>
      <c r="H13" s="416"/>
      <c r="I13" s="413">
        <f>150+130+622+230</f>
        <v>1132</v>
      </c>
      <c r="J13" s="47">
        <f>E13+H13</f>
        <v>200</v>
      </c>
      <c r="K13" s="362">
        <f>F13+I13</f>
        <v>1507</v>
      </c>
      <c r="L13" s="58">
        <f>SUM(J13:K13)</f>
        <v>1707</v>
      </c>
      <c r="M13" s="47">
        <v>37.51</v>
      </c>
      <c r="N13" s="16">
        <v>70.47</v>
      </c>
      <c r="O13" s="58">
        <f>M13+N13</f>
        <v>107.97999999999999</v>
      </c>
      <c r="P13" s="529">
        <f t="shared" si="4"/>
        <v>6.3257176332747509</v>
      </c>
      <c r="Q13" s="47">
        <v>37.51</v>
      </c>
      <c r="R13" s="16">
        <v>70.47</v>
      </c>
      <c r="S13" s="58">
        <f>Q13+R13</f>
        <v>107.97999999999999</v>
      </c>
      <c r="T13" s="562">
        <f t="shared" si="6"/>
        <v>6.3257176332747509</v>
      </c>
      <c r="U13" s="386"/>
      <c r="V13" s="210" t="s">
        <v>370</v>
      </c>
      <c r="W13" s="203" t="s">
        <v>137</v>
      </c>
    </row>
    <row r="14" spans="1:23" x14ac:dyDescent="0.2">
      <c r="A14" s="126">
        <v>22</v>
      </c>
      <c r="B14" s="24"/>
      <c r="C14" s="24"/>
      <c r="D14" s="453" t="s">
        <v>70</v>
      </c>
      <c r="E14" s="450">
        <f t="shared" ref="E14:O14" si="8">SUM(E15:E30)</f>
        <v>14445</v>
      </c>
      <c r="F14" s="60">
        <f t="shared" si="8"/>
        <v>8767</v>
      </c>
      <c r="G14" s="61">
        <f t="shared" si="8"/>
        <v>23212</v>
      </c>
      <c r="H14" s="414">
        <f t="shared" si="8"/>
        <v>-3701</v>
      </c>
      <c r="I14" s="415">
        <f t="shared" si="8"/>
        <v>6904</v>
      </c>
      <c r="J14" s="59">
        <f t="shared" si="8"/>
        <v>10744</v>
      </c>
      <c r="K14" s="60">
        <f t="shared" si="8"/>
        <v>15671</v>
      </c>
      <c r="L14" s="61">
        <f t="shared" si="8"/>
        <v>26415</v>
      </c>
      <c r="M14" s="59">
        <f t="shared" si="8"/>
        <v>2071.4263700000001</v>
      </c>
      <c r="N14" s="60">
        <f t="shared" si="8"/>
        <v>252.43019999999999</v>
      </c>
      <c r="O14" s="61">
        <f t="shared" si="8"/>
        <v>2323.8565700000004</v>
      </c>
      <c r="P14" s="530">
        <f t="shared" si="4"/>
        <v>8.7974884346015543</v>
      </c>
      <c r="Q14" s="59">
        <f>SUM(Q15:Q30)</f>
        <v>4251.5515800000003</v>
      </c>
      <c r="R14" s="60">
        <f>SUM(R15:R30)</f>
        <v>4367.1017000000002</v>
      </c>
      <c r="S14" s="61">
        <f>SUM(S15:S30)</f>
        <v>8618.6532799999986</v>
      </c>
      <c r="T14" s="563">
        <f t="shared" si="6"/>
        <v>32.627875373840617</v>
      </c>
      <c r="U14" s="387"/>
      <c r="V14" s="56"/>
      <c r="W14" s="85"/>
    </row>
    <row r="15" spans="1:23" x14ac:dyDescent="0.2">
      <c r="A15" s="125"/>
      <c r="B15" s="362">
        <v>2212</v>
      </c>
      <c r="C15" s="362">
        <v>203</v>
      </c>
      <c r="D15" s="452" t="s">
        <v>379</v>
      </c>
      <c r="E15" s="47">
        <v>200</v>
      </c>
      <c r="F15" s="16">
        <v>0</v>
      </c>
      <c r="G15" s="58">
        <f t="shared" ref="G15:G28" si="9">E15+F15</f>
        <v>200</v>
      </c>
      <c r="H15" s="416"/>
      <c r="I15" s="413"/>
      <c r="J15" s="47">
        <f t="shared" ref="J15:J25" si="10">E15+H15</f>
        <v>200</v>
      </c>
      <c r="K15" s="362">
        <f t="shared" ref="K15:K25" si="11">F15+I15</f>
        <v>0</v>
      </c>
      <c r="L15" s="58">
        <f t="shared" ref="L15:L25" si="12">SUM(J15:K15)</f>
        <v>200</v>
      </c>
      <c r="M15" s="47">
        <v>8.4700000000000006</v>
      </c>
      <c r="N15" s="16"/>
      <c r="O15" s="58">
        <f t="shared" ref="O15:O25" si="13">M15+N15</f>
        <v>8.4700000000000006</v>
      </c>
      <c r="P15" s="529"/>
      <c r="Q15" s="47">
        <v>8.4700000000000006</v>
      </c>
      <c r="R15" s="16"/>
      <c r="S15" s="58">
        <f t="shared" ref="S15:S25" si="14">Q15+R15</f>
        <v>8.4700000000000006</v>
      </c>
      <c r="T15" s="562">
        <f t="shared" si="6"/>
        <v>4.2350000000000003</v>
      </c>
      <c r="U15" s="386"/>
      <c r="V15" s="212" t="s">
        <v>182</v>
      </c>
      <c r="W15" s="201" t="s">
        <v>137</v>
      </c>
    </row>
    <row r="16" spans="1:23" x14ac:dyDescent="0.2">
      <c r="A16" s="125"/>
      <c r="B16" s="362">
        <v>2212</v>
      </c>
      <c r="C16" s="362">
        <v>204</v>
      </c>
      <c r="D16" s="452" t="s">
        <v>144</v>
      </c>
      <c r="E16" s="16">
        <v>6200</v>
      </c>
      <c r="F16" s="16"/>
      <c r="G16" s="58">
        <f t="shared" si="9"/>
        <v>6200</v>
      </c>
      <c r="H16" s="416"/>
      <c r="I16" s="413"/>
      <c r="J16" s="47">
        <f t="shared" si="10"/>
        <v>6200</v>
      </c>
      <c r="K16" s="362">
        <f t="shared" si="11"/>
        <v>0</v>
      </c>
      <c r="L16" s="58">
        <f t="shared" si="12"/>
        <v>6200</v>
      </c>
      <c r="M16" s="47">
        <v>1842.47335</v>
      </c>
      <c r="N16" s="16"/>
      <c r="O16" s="58">
        <f t="shared" si="13"/>
        <v>1842.47335</v>
      </c>
      <c r="P16" s="529">
        <f>O16/$L16*100</f>
        <v>29.717312096774194</v>
      </c>
      <c r="Q16" s="47">
        <v>3490.8865999999998</v>
      </c>
      <c r="R16" s="16"/>
      <c r="S16" s="58">
        <f t="shared" si="14"/>
        <v>3490.8865999999998</v>
      </c>
      <c r="T16" s="562">
        <f t="shared" si="6"/>
        <v>56.304622580645159</v>
      </c>
      <c r="U16" s="386"/>
      <c r="V16" s="212" t="s">
        <v>216</v>
      </c>
      <c r="W16" s="201" t="s">
        <v>137</v>
      </c>
    </row>
    <row r="17" spans="1:23" x14ac:dyDescent="0.2">
      <c r="A17" s="125"/>
      <c r="B17" s="362">
        <v>2212</v>
      </c>
      <c r="C17" s="362">
        <v>206</v>
      </c>
      <c r="D17" s="452" t="s">
        <v>312</v>
      </c>
      <c r="E17" s="47">
        <v>100</v>
      </c>
      <c r="F17" s="16"/>
      <c r="G17" s="58">
        <f t="shared" si="9"/>
        <v>100</v>
      </c>
      <c r="H17" s="416"/>
      <c r="I17" s="413"/>
      <c r="J17" s="47">
        <f t="shared" si="10"/>
        <v>100</v>
      </c>
      <c r="K17" s="362">
        <f t="shared" si="11"/>
        <v>0</v>
      </c>
      <c r="L17" s="58">
        <f t="shared" si="12"/>
        <v>100</v>
      </c>
      <c r="M17" s="47">
        <v>0</v>
      </c>
      <c r="N17" s="16"/>
      <c r="O17" s="58">
        <f t="shared" si="13"/>
        <v>0</v>
      </c>
      <c r="P17" s="529">
        <f>O17/$L17*100</f>
        <v>0</v>
      </c>
      <c r="Q17" s="47"/>
      <c r="R17" s="16"/>
      <c r="S17" s="58">
        <f t="shared" si="14"/>
        <v>0</v>
      </c>
      <c r="T17" s="562">
        <f>S17/$L17*100</f>
        <v>0</v>
      </c>
      <c r="U17" s="386" t="s">
        <v>369</v>
      </c>
      <c r="V17" s="212" t="s">
        <v>370</v>
      </c>
      <c r="W17" s="201" t="s">
        <v>137</v>
      </c>
    </row>
    <row r="18" spans="1:23" x14ac:dyDescent="0.2">
      <c r="A18" s="125"/>
      <c r="B18" s="362">
        <v>2212</v>
      </c>
      <c r="C18" s="362">
        <v>217</v>
      </c>
      <c r="D18" s="452" t="s">
        <v>364</v>
      </c>
      <c r="E18" s="47">
        <v>150</v>
      </c>
      <c r="F18" s="16"/>
      <c r="G18" s="58">
        <f t="shared" si="9"/>
        <v>150</v>
      </c>
      <c r="H18" s="416"/>
      <c r="I18" s="413"/>
      <c r="J18" s="47">
        <f t="shared" si="10"/>
        <v>150</v>
      </c>
      <c r="K18" s="362">
        <f t="shared" si="11"/>
        <v>0</v>
      </c>
      <c r="L18" s="58">
        <f t="shared" si="12"/>
        <v>150</v>
      </c>
      <c r="M18" s="47">
        <v>0</v>
      </c>
      <c r="N18" s="16"/>
      <c r="O18" s="58">
        <f t="shared" si="13"/>
        <v>0</v>
      </c>
      <c r="P18" s="529">
        <f t="shared" ref="P18:P21" si="15">O18/$L18*100</f>
        <v>0</v>
      </c>
      <c r="Q18" s="47"/>
      <c r="R18" s="16"/>
      <c r="S18" s="58">
        <f t="shared" si="14"/>
        <v>0</v>
      </c>
      <c r="T18" s="562">
        <f t="shared" ref="T18:T23" si="16">S18/$L18*100</f>
        <v>0</v>
      </c>
      <c r="U18" s="386" t="s">
        <v>469</v>
      </c>
      <c r="V18" s="212" t="s">
        <v>182</v>
      </c>
      <c r="W18" s="201" t="s">
        <v>137</v>
      </c>
    </row>
    <row r="19" spans="1:23" x14ac:dyDescent="0.2">
      <c r="A19" s="125"/>
      <c r="B19" s="362">
        <v>2212</v>
      </c>
      <c r="C19" s="362" t="s">
        <v>552</v>
      </c>
      <c r="D19" s="452" t="s">
        <v>357</v>
      </c>
      <c r="E19" s="47"/>
      <c r="F19" s="17">
        <v>600</v>
      </c>
      <c r="G19" s="58">
        <f t="shared" si="9"/>
        <v>600</v>
      </c>
      <c r="H19" s="416"/>
      <c r="I19" s="413"/>
      <c r="J19" s="47">
        <f t="shared" si="10"/>
        <v>0</v>
      </c>
      <c r="K19" s="362">
        <f t="shared" si="11"/>
        <v>600</v>
      </c>
      <c r="L19" s="58">
        <f t="shared" si="12"/>
        <v>600</v>
      </c>
      <c r="M19" s="47">
        <v>0</v>
      </c>
      <c r="N19" s="16"/>
      <c r="O19" s="58">
        <f t="shared" si="13"/>
        <v>0</v>
      </c>
      <c r="P19" s="529">
        <f t="shared" si="15"/>
        <v>0</v>
      </c>
      <c r="Q19" s="47">
        <v>1.4374800000000001</v>
      </c>
      <c r="R19" s="16">
        <v>566</v>
      </c>
      <c r="S19" s="58">
        <f t="shared" si="14"/>
        <v>567.43748000000005</v>
      </c>
      <c r="T19" s="562">
        <f t="shared" si="16"/>
        <v>94.572913333333346</v>
      </c>
      <c r="U19" s="386" t="s">
        <v>470</v>
      </c>
      <c r="V19" s="212" t="s">
        <v>182</v>
      </c>
      <c r="W19" s="201" t="s">
        <v>137</v>
      </c>
    </row>
    <row r="20" spans="1:23" s="328" customFormat="1" x14ac:dyDescent="0.2">
      <c r="A20" s="125"/>
      <c r="B20" s="362">
        <v>2212</v>
      </c>
      <c r="C20" s="362">
        <v>231</v>
      </c>
      <c r="D20" s="452" t="s">
        <v>446</v>
      </c>
      <c r="E20" s="47"/>
      <c r="F20" s="16">
        <v>250</v>
      </c>
      <c r="G20" s="58">
        <f t="shared" si="9"/>
        <v>250</v>
      </c>
      <c r="H20" s="416"/>
      <c r="I20" s="413"/>
      <c r="J20" s="47">
        <f t="shared" si="10"/>
        <v>0</v>
      </c>
      <c r="K20" s="362">
        <f t="shared" si="11"/>
        <v>250</v>
      </c>
      <c r="L20" s="58">
        <f t="shared" si="12"/>
        <v>250</v>
      </c>
      <c r="M20" s="47">
        <v>0</v>
      </c>
      <c r="N20" s="16"/>
      <c r="O20" s="58">
        <f t="shared" ref="O20:O21" si="17">M20+N20</f>
        <v>0</v>
      </c>
      <c r="P20" s="529">
        <f t="shared" si="15"/>
        <v>0</v>
      </c>
      <c r="Q20" s="47"/>
      <c r="R20" s="16"/>
      <c r="S20" s="58">
        <f t="shared" ref="S20:S21" si="18">Q20+R20</f>
        <v>0</v>
      </c>
      <c r="T20" s="562">
        <f t="shared" si="16"/>
        <v>0</v>
      </c>
      <c r="U20" s="386"/>
      <c r="V20" s="212" t="s">
        <v>182</v>
      </c>
      <c r="W20" s="201" t="s">
        <v>137</v>
      </c>
    </row>
    <row r="21" spans="1:23" s="328" customFormat="1" x14ac:dyDescent="0.2">
      <c r="A21" s="125"/>
      <c r="B21" s="362">
        <v>2212</v>
      </c>
      <c r="C21" s="110" t="s">
        <v>551</v>
      </c>
      <c r="D21" s="452" t="s">
        <v>533</v>
      </c>
      <c r="E21" s="47">
        <f>5000+500</f>
        <v>5500</v>
      </c>
      <c r="F21" s="16">
        <f>2500+3000</f>
        <v>5500</v>
      </c>
      <c r="G21" s="58">
        <f t="shared" si="9"/>
        <v>11000</v>
      </c>
      <c r="H21" s="416">
        <v>-5000</v>
      </c>
      <c r="I21" s="413">
        <f>5000+1803</f>
        <v>6803</v>
      </c>
      <c r="J21" s="47">
        <f t="shared" ref="J21" si="19">E21+H21</f>
        <v>500</v>
      </c>
      <c r="K21" s="362">
        <f t="shared" ref="K21" si="20">F21+I21</f>
        <v>12303</v>
      </c>
      <c r="L21" s="58">
        <f t="shared" ref="L21" si="21">SUM(J21:K21)</f>
        <v>12803</v>
      </c>
      <c r="M21" s="47">
        <v>0</v>
      </c>
      <c r="N21" s="16">
        <v>166.61699999999999</v>
      </c>
      <c r="O21" s="58">
        <f t="shared" si="17"/>
        <v>166.61699999999999</v>
      </c>
      <c r="P21" s="529">
        <f t="shared" si="15"/>
        <v>1.301390299148637</v>
      </c>
      <c r="Q21" s="47">
        <v>144.78</v>
      </c>
      <c r="R21" s="16">
        <f>614.314+3000</f>
        <v>3614.3139999999999</v>
      </c>
      <c r="S21" s="58">
        <f t="shared" si="18"/>
        <v>3759.0940000000001</v>
      </c>
      <c r="T21" s="562">
        <f t="shared" si="16"/>
        <v>29.361040381160663</v>
      </c>
      <c r="U21" s="516"/>
      <c r="V21" s="212" t="s">
        <v>182</v>
      </c>
      <c r="W21" s="201" t="s">
        <v>137</v>
      </c>
    </row>
    <row r="22" spans="1:23" x14ac:dyDescent="0.2">
      <c r="A22" s="125"/>
      <c r="B22" s="362">
        <v>2219</v>
      </c>
      <c r="C22" s="362">
        <v>39</v>
      </c>
      <c r="D22" s="452" t="s">
        <v>387</v>
      </c>
      <c r="E22" s="47"/>
      <c r="F22" s="16">
        <v>700</v>
      </c>
      <c r="G22" s="58">
        <f t="shared" si="9"/>
        <v>700</v>
      </c>
      <c r="H22" s="416"/>
      <c r="I22" s="413"/>
      <c r="J22" s="47">
        <f t="shared" si="10"/>
        <v>0</v>
      </c>
      <c r="K22" s="362">
        <f t="shared" si="11"/>
        <v>700</v>
      </c>
      <c r="L22" s="58">
        <f t="shared" si="12"/>
        <v>700</v>
      </c>
      <c r="M22" s="47">
        <v>0</v>
      </c>
      <c r="N22" s="16"/>
      <c r="O22" s="58">
        <f t="shared" si="13"/>
        <v>0</v>
      </c>
      <c r="P22" s="529"/>
      <c r="Q22" s="47"/>
      <c r="R22" s="16"/>
      <c r="S22" s="58">
        <f t="shared" si="14"/>
        <v>0</v>
      </c>
      <c r="T22" s="562">
        <f t="shared" si="16"/>
        <v>0</v>
      </c>
      <c r="U22" s="386"/>
      <c r="V22" s="212" t="s">
        <v>370</v>
      </c>
      <c r="W22" s="201" t="s">
        <v>137</v>
      </c>
    </row>
    <row r="23" spans="1:23" x14ac:dyDescent="0.2">
      <c r="A23" s="125"/>
      <c r="B23" s="362">
        <v>2219</v>
      </c>
      <c r="C23" s="362">
        <v>43</v>
      </c>
      <c r="D23" s="452" t="s">
        <v>142</v>
      </c>
      <c r="E23" s="47">
        <v>32</v>
      </c>
      <c r="F23" s="16"/>
      <c r="G23" s="58">
        <f t="shared" si="9"/>
        <v>32</v>
      </c>
      <c r="H23" s="416"/>
      <c r="I23" s="413"/>
      <c r="J23" s="47">
        <f t="shared" si="10"/>
        <v>32</v>
      </c>
      <c r="K23" s="362">
        <f t="shared" si="11"/>
        <v>0</v>
      </c>
      <c r="L23" s="58">
        <f t="shared" si="12"/>
        <v>32</v>
      </c>
      <c r="M23" s="47">
        <v>2.3231999999999999</v>
      </c>
      <c r="N23" s="16"/>
      <c r="O23" s="58">
        <f t="shared" si="13"/>
        <v>2.3231999999999999</v>
      </c>
      <c r="P23" s="529">
        <f>O23/$L23*100</f>
        <v>7.26</v>
      </c>
      <c r="Q23" s="47">
        <v>9.2323000000000004</v>
      </c>
      <c r="R23" s="16"/>
      <c r="S23" s="58">
        <f t="shared" si="14"/>
        <v>9.2323000000000004</v>
      </c>
      <c r="T23" s="562">
        <f t="shared" si="16"/>
        <v>28.850937500000001</v>
      </c>
      <c r="U23" s="386"/>
      <c r="V23" s="217" t="s">
        <v>181</v>
      </c>
      <c r="W23" s="202" t="s">
        <v>272</v>
      </c>
    </row>
    <row r="24" spans="1:23" s="328" customFormat="1" x14ac:dyDescent="0.2">
      <c r="A24" s="125"/>
      <c r="B24" s="362">
        <v>2219</v>
      </c>
      <c r="C24" s="362">
        <v>46</v>
      </c>
      <c r="D24" s="452" t="s">
        <v>465</v>
      </c>
      <c r="E24" s="47"/>
      <c r="F24" s="16">
        <v>100</v>
      </c>
      <c r="G24" s="58">
        <f t="shared" si="9"/>
        <v>100</v>
      </c>
      <c r="H24" s="416"/>
      <c r="I24" s="413"/>
      <c r="J24" s="47">
        <f t="shared" si="10"/>
        <v>0</v>
      </c>
      <c r="K24" s="362">
        <f t="shared" si="11"/>
        <v>100</v>
      </c>
      <c r="L24" s="58">
        <f t="shared" si="12"/>
        <v>100</v>
      </c>
      <c r="M24" s="47">
        <v>0</v>
      </c>
      <c r="N24" s="16"/>
      <c r="O24" s="58">
        <f t="shared" si="13"/>
        <v>0</v>
      </c>
      <c r="P24" s="529">
        <f>O24/$L24*100</f>
        <v>0</v>
      </c>
      <c r="Q24" s="47"/>
      <c r="R24" s="16"/>
      <c r="S24" s="58">
        <f t="shared" si="14"/>
        <v>0</v>
      </c>
      <c r="T24" s="562">
        <f>S24/$L24*100</f>
        <v>0</v>
      </c>
      <c r="U24" s="386"/>
      <c r="V24" s="212" t="s">
        <v>370</v>
      </c>
      <c r="W24" s="201" t="s">
        <v>137</v>
      </c>
    </row>
    <row r="25" spans="1:23" x14ac:dyDescent="0.2">
      <c r="A25" s="125"/>
      <c r="B25" s="362">
        <v>2219</v>
      </c>
      <c r="C25" s="362">
        <v>49</v>
      </c>
      <c r="D25" s="452" t="s">
        <v>365</v>
      </c>
      <c r="E25" s="47">
        <v>135</v>
      </c>
      <c r="F25" s="16"/>
      <c r="G25" s="58">
        <f t="shared" si="9"/>
        <v>135</v>
      </c>
      <c r="H25" s="416"/>
      <c r="I25" s="413"/>
      <c r="J25" s="47">
        <f t="shared" si="10"/>
        <v>135</v>
      </c>
      <c r="K25" s="362">
        <f t="shared" si="11"/>
        <v>0</v>
      </c>
      <c r="L25" s="58">
        <f t="shared" si="12"/>
        <v>135</v>
      </c>
      <c r="M25" s="47">
        <v>0</v>
      </c>
      <c r="N25" s="16"/>
      <c r="O25" s="58">
        <f t="shared" si="13"/>
        <v>0</v>
      </c>
      <c r="P25" s="529">
        <f t="shared" ref="P25:P29" si="22">O25/$L25*100</f>
        <v>0</v>
      </c>
      <c r="Q25" s="47"/>
      <c r="R25" s="16"/>
      <c r="S25" s="58">
        <f t="shared" si="14"/>
        <v>0</v>
      </c>
      <c r="T25" s="562">
        <f>S25/$L25*100</f>
        <v>0</v>
      </c>
      <c r="U25" s="386"/>
      <c r="V25" s="212" t="s">
        <v>370</v>
      </c>
      <c r="W25" s="201" t="s">
        <v>137</v>
      </c>
    </row>
    <row r="26" spans="1:23" s="328" customFormat="1" x14ac:dyDescent="0.2">
      <c r="A26" s="125"/>
      <c r="B26" s="362">
        <v>2219</v>
      </c>
      <c r="C26" s="362">
        <v>52</v>
      </c>
      <c r="D26" s="452" t="s">
        <v>447</v>
      </c>
      <c r="E26" s="47">
        <v>0</v>
      </c>
      <c r="F26" s="16">
        <v>200</v>
      </c>
      <c r="G26" s="58">
        <f t="shared" si="9"/>
        <v>200</v>
      </c>
      <c r="H26" s="416"/>
      <c r="I26" s="413"/>
      <c r="J26" s="47">
        <f t="shared" ref="J26:J28" si="23">E26+H26</f>
        <v>0</v>
      </c>
      <c r="K26" s="362">
        <f t="shared" ref="K26:K28" si="24">F26+I26</f>
        <v>200</v>
      </c>
      <c r="L26" s="58">
        <f t="shared" ref="L26:L28" si="25">SUM(J26:K26)</f>
        <v>200</v>
      </c>
      <c r="M26" s="47">
        <v>0</v>
      </c>
      <c r="N26" s="16"/>
      <c r="O26" s="58">
        <f t="shared" ref="O26:O28" si="26">M26+N26</f>
        <v>0</v>
      </c>
      <c r="P26" s="529">
        <f t="shared" ref="P26:P28" si="27">O26/$L26*100</f>
        <v>0</v>
      </c>
      <c r="Q26" s="47"/>
      <c r="R26" s="16"/>
      <c r="S26" s="58">
        <f t="shared" ref="S26:S28" si="28">Q26+R26</f>
        <v>0</v>
      </c>
      <c r="T26" s="562">
        <f t="shared" ref="T26:T28" si="29">S26/$L26*100</f>
        <v>0</v>
      </c>
      <c r="U26" s="386"/>
      <c r="V26" s="212" t="s">
        <v>370</v>
      </c>
      <c r="W26" s="201" t="s">
        <v>137</v>
      </c>
    </row>
    <row r="27" spans="1:23" s="366" customFormat="1" x14ac:dyDescent="0.2">
      <c r="A27" s="125"/>
      <c r="B27" s="362">
        <v>2221</v>
      </c>
      <c r="C27" s="362">
        <v>199</v>
      </c>
      <c r="D27" s="452" t="s">
        <v>549</v>
      </c>
      <c r="E27" s="47">
        <v>0</v>
      </c>
      <c r="F27" s="16">
        <v>0</v>
      </c>
      <c r="G27" s="58">
        <f t="shared" ref="G27" si="30">E27+F27</f>
        <v>0</v>
      </c>
      <c r="H27" s="416">
        <v>1400</v>
      </c>
      <c r="I27" s="413"/>
      <c r="J27" s="47">
        <f t="shared" ref="J27" si="31">E27+H27</f>
        <v>1400</v>
      </c>
      <c r="K27" s="362">
        <f t="shared" ref="K27" si="32">F27+I27</f>
        <v>0</v>
      </c>
      <c r="L27" s="58">
        <f t="shared" ref="L27" si="33">SUM(J27:K27)</f>
        <v>1400</v>
      </c>
      <c r="M27" s="47">
        <v>0</v>
      </c>
      <c r="N27" s="16"/>
      <c r="O27" s="58">
        <f t="shared" ref="O27" si="34">M27+N27</f>
        <v>0</v>
      </c>
      <c r="P27" s="529">
        <f t="shared" si="27"/>
        <v>0</v>
      </c>
      <c r="Q27" s="47"/>
      <c r="R27" s="16"/>
      <c r="S27" s="58">
        <f t="shared" ref="S27" si="35">Q27+R27</f>
        <v>0</v>
      </c>
      <c r="T27" s="562">
        <f t="shared" si="29"/>
        <v>0</v>
      </c>
      <c r="U27" s="386"/>
      <c r="V27" s="212"/>
      <c r="W27" s="201"/>
    </row>
    <row r="28" spans="1:23" s="328" customFormat="1" x14ac:dyDescent="0.2">
      <c r="A28" s="125"/>
      <c r="B28" s="362">
        <v>2223</v>
      </c>
      <c r="C28" s="362">
        <v>36</v>
      </c>
      <c r="D28" s="452" t="s">
        <v>440</v>
      </c>
      <c r="E28" s="47">
        <f>730+641+239</f>
        <v>1610</v>
      </c>
      <c r="F28" s="16">
        <f>766+405+246</f>
        <v>1417</v>
      </c>
      <c r="G28" s="58">
        <f t="shared" si="9"/>
        <v>3027</v>
      </c>
      <c r="H28" s="416">
        <v>-101</v>
      </c>
      <c r="I28" s="413">
        <v>101</v>
      </c>
      <c r="J28" s="47">
        <f t="shared" si="23"/>
        <v>1509</v>
      </c>
      <c r="K28" s="362">
        <f t="shared" si="24"/>
        <v>1518</v>
      </c>
      <c r="L28" s="58">
        <f t="shared" si="25"/>
        <v>3027</v>
      </c>
      <c r="M28" s="47">
        <f>69.46792+27.3944</f>
        <v>96.862320000000011</v>
      </c>
      <c r="N28" s="16">
        <v>85.813199999999995</v>
      </c>
      <c r="O28" s="58">
        <f t="shared" si="26"/>
        <v>182.67552000000001</v>
      </c>
      <c r="P28" s="529">
        <f t="shared" si="27"/>
        <v>6.0348701684836481</v>
      </c>
      <c r="Q28" s="47">
        <v>322.92520000000002</v>
      </c>
      <c r="R28" s="16">
        <f>85.8132+100.9745</f>
        <v>186.7877</v>
      </c>
      <c r="S28" s="58">
        <f t="shared" si="28"/>
        <v>509.71289999999999</v>
      </c>
      <c r="T28" s="562">
        <f t="shared" si="29"/>
        <v>16.838880079286422</v>
      </c>
      <c r="U28" s="386"/>
      <c r="V28" s="212" t="s">
        <v>272</v>
      </c>
      <c r="W28" s="201" t="s">
        <v>453</v>
      </c>
    </row>
    <row r="29" spans="1:23" x14ac:dyDescent="0.2">
      <c r="A29" s="125"/>
      <c r="B29" s="362">
        <v>2292</v>
      </c>
      <c r="C29" s="362">
        <v>204</v>
      </c>
      <c r="D29" s="452" t="s">
        <v>138</v>
      </c>
      <c r="E29" s="47">
        <v>486</v>
      </c>
      <c r="F29" s="16"/>
      <c r="G29" s="58">
        <f t="shared" ref="G29:G30" si="36">E29+F29</f>
        <v>486</v>
      </c>
      <c r="H29" s="416"/>
      <c r="I29" s="413"/>
      <c r="J29" s="47">
        <f t="shared" ref="J29" si="37">E29+H29</f>
        <v>486</v>
      </c>
      <c r="K29" s="362">
        <f t="shared" ref="K29" si="38">F29+I29</f>
        <v>0</v>
      </c>
      <c r="L29" s="58">
        <f t="shared" ref="L29:L30" si="39">SUM(J29:K29)</f>
        <v>486</v>
      </c>
      <c r="M29" s="47">
        <v>121.2975</v>
      </c>
      <c r="N29" s="16"/>
      <c r="O29" s="58">
        <f t="shared" ref="O29:O30" si="40">M29+N29</f>
        <v>121.2975</v>
      </c>
      <c r="P29" s="529">
        <f t="shared" si="22"/>
        <v>24.958333333333332</v>
      </c>
      <c r="Q29" s="47">
        <v>242.595</v>
      </c>
      <c r="R29" s="16"/>
      <c r="S29" s="58">
        <f t="shared" ref="S29:S30" si="41">Q29+R29</f>
        <v>242.595</v>
      </c>
      <c r="T29" s="562">
        <f t="shared" ref="T29:T30" si="42">S29/$L29*100</f>
        <v>49.916666666666664</v>
      </c>
      <c r="U29" s="386" t="s">
        <v>534</v>
      </c>
      <c r="V29" s="277" t="s">
        <v>217</v>
      </c>
      <c r="W29" s="200" t="s">
        <v>450</v>
      </c>
    </row>
    <row r="30" spans="1:23" s="297" customFormat="1" ht="12" x14ac:dyDescent="0.2">
      <c r="A30" s="295"/>
      <c r="B30" s="36">
        <v>2321</v>
      </c>
      <c r="C30" s="296">
        <v>5103</v>
      </c>
      <c r="D30" s="454" t="s">
        <v>310</v>
      </c>
      <c r="E30" s="62">
        <v>32</v>
      </c>
      <c r="F30" s="65"/>
      <c r="G30" s="64">
        <f t="shared" si="36"/>
        <v>32</v>
      </c>
      <c r="H30" s="417"/>
      <c r="I30" s="418"/>
      <c r="J30" s="62">
        <f>E30+H30</f>
        <v>32</v>
      </c>
      <c r="K30" s="65">
        <f>F30+I30</f>
        <v>0</v>
      </c>
      <c r="L30" s="64">
        <f t="shared" si="39"/>
        <v>32</v>
      </c>
      <c r="M30" s="62">
        <v>0</v>
      </c>
      <c r="N30" s="65"/>
      <c r="O30" s="64">
        <f t="shared" si="40"/>
        <v>0</v>
      </c>
      <c r="P30" s="531">
        <f>O30/$L30*100</f>
        <v>0</v>
      </c>
      <c r="Q30" s="62">
        <v>31.225000000000001</v>
      </c>
      <c r="R30" s="65"/>
      <c r="S30" s="64">
        <f t="shared" si="41"/>
        <v>31.225000000000001</v>
      </c>
      <c r="T30" s="562">
        <f t="shared" si="42"/>
        <v>97.578125</v>
      </c>
      <c r="U30" s="388"/>
      <c r="V30" s="278" t="s">
        <v>217</v>
      </c>
      <c r="W30" s="204" t="s">
        <v>450</v>
      </c>
    </row>
    <row r="31" spans="1:23" x14ac:dyDescent="0.2">
      <c r="A31" s="90">
        <v>31</v>
      </c>
      <c r="B31" s="32">
        <v>3100</v>
      </c>
      <c r="C31" s="32"/>
      <c r="D31" s="455" t="s">
        <v>373</v>
      </c>
      <c r="E31" s="19">
        <f t="shared" ref="E31:O31" si="43">SUM(E32:E43)</f>
        <v>19429</v>
      </c>
      <c r="F31" s="18">
        <f t="shared" si="43"/>
        <v>135</v>
      </c>
      <c r="G31" s="57">
        <f t="shared" si="43"/>
        <v>19564</v>
      </c>
      <c r="H31" s="419">
        <f t="shared" si="43"/>
        <v>-7286.5245000000004</v>
      </c>
      <c r="I31" s="420">
        <f t="shared" si="43"/>
        <v>0</v>
      </c>
      <c r="J31" s="56">
        <f t="shared" si="43"/>
        <v>12142.4755</v>
      </c>
      <c r="K31" s="18">
        <f t="shared" si="43"/>
        <v>135</v>
      </c>
      <c r="L31" s="57">
        <f t="shared" si="43"/>
        <v>12277.4755</v>
      </c>
      <c r="M31" s="56">
        <f t="shared" si="43"/>
        <v>1702.0992200000001</v>
      </c>
      <c r="N31" s="18">
        <f t="shared" si="43"/>
        <v>0</v>
      </c>
      <c r="O31" s="57">
        <f t="shared" si="43"/>
        <v>1702.0992200000001</v>
      </c>
      <c r="P31" s="530">
        <f>O31/$L31*100</f>
        <v>13.863592886013091</v>
      </c>
      <c r="Q31" s="56">
        <f>SUM(Q32:Q43)</f>
        <v>3653.87417</v>
      </c>
      <c r="R31" s="18">
        <f>SUM(R32:R43)</f>
        <v>0</v>
      </c>
      <c r="S31" s="57">
        <f>SUM(S32:S43)</f>
        <v>3653.87417</v>
      </c>
      <c r="T31" s="563">
        <f t="shared" si="6"/>
        <v>29.760793821172765</v>
      </c>
      <c r="U31" s="389"/>
      <c r="V31" s="213"/>
      <c r="W31" s="85"/>
    </row>
    <row r="32" spans="1:23" ht="12" customHeight="1" x14ac:dyDescent="0.2">
      <c r="A32" s="125"/>
      <c r="B32" s="362">
        <v>3111</v>
      </c>
      <c r="C32" s="362">
        <v>301</v>
      </c>
      <c r="D32" s="452" t="s">
        <v>225</v>
      </c>
      <c r="E32" s="47">
        <v>1462</v>
      </c>
      <c r="F32" s="16"/>
      <c r="G32" s="58">
        <f t="shared" ref="G32:G43" si="44">E32+F32</f>
        <v>1462</v>
      </c>
      <c r="H32" s="412">
        <f>24.4755+39</f>
        <v>63.475499999999997</v>
      </c>
      <c r="I32" s="413"/>
      <c r="J32" s="47">
        <f t="shared" ref="J32:J42" si="45">E32+H32</f>
        <v>1525.4755</v>
      </c>
      <c r="K32" s="362"/>
      <c r="L32" s="58">
        <f t="shared" ref="L32:L43" si="46">SUM(J32:K32)</f>
        <v>1525.4755</v>
      </c>
      <c r="M32" s="47">
        <f>365.5+20.80418+3.67132</f>
        <v>389.97549999999995</v>
      </c>
      <c r="N32" s="16"/>
      <c r="O32" s="58">
        <f t="shared" ref="O32:O43" si="47">M32+N32</f>
        <v>389.97549999999995</v>
      </c>
      <c r="P32" s="529">
        <f t="shared" ref="P32:P39" si="48">O32/$L32*100</f>
        <v>25.564192935251988</v>
      </c>
      <c r="Q32" s="47">
        <f>807.1805-12.705</f>
        <v>794.47550000000001</v>
      </c>
      <c r="R32" s="16"/>
      <c r="S32" s="58">
        <f t="shared" ref="S32:S43" si="49">Q32+R32</f>
        <v>794.47550000000001</v>
      </c>
      <c r="T32" s="562">
        <f t="shared" si="6"/>
        <v>52.080515222958347</v>
      </c>
      <c r="U32" s="386"/>
      <c r="V32" s="211" t="s">
        <v>218</v>
      </c>
      <c r="W32" s="200" t="s">
        <v>450</v>
      </c>
    </row>
    <row r="33" spans="1:23" ht="12" customHeight="1" x14ac:dyDescent="0.2">
      <c r="A33" s="125"/>
      <c r="B33" s="362">
        <v>3111</v>
      </c>
      <c r="C33" s="362">
        <v>301</v>
      </c>
      <c r="D33" s="452" t="s">
        <v>241</v>
      </c>
      <c r="E33" s="47">
        <v>338</v>
      </c>
      <c r="F33" s="16"/>
      <c r="G33" s="58">
        <f t="shared" si="44"/>
        <v>338</v>
      </c>
      <c r="H33" s="412"/>
      <c r="I33" s="413"/>
      <c r="J33" s="47">
        <f t="shared" si="45"/>
        <v>338</v>
      </c>
      <c r="K33" s="362"/>
      <c r="L33" s="58">
        <f t="shared" si="46"/>
        <v>338</v>
      </c>
      <c r="M33" s="47">
        <v>0</v>
      </c>
      <c r="N33" s="16"/>
      <c r="O33" s="58">
        <f t="shared" si="47"/>
        <v>0</v>
      </c>
      <c r="P33" s="529">
        <f t="shared" si="48"/>
        <v>0</v>
      </c>
      <c r="Q33" s="47">
        <v>0</v>
      </c>
      <c r="R33" s="16"/>
      <c r="S33" s="58">
        <f t="shared" si="49"/>
        <v>0</v>
      </c>
      <c r="T33" s="562">
        <f t="shared" si="6"/>
        <v>0</v>
      </c>
      <c r="U33" s="386"/>
      <c r="V33" s="211" t="s">
        <v>218</v>
      </c>
      <c r="W33" s="200" t="s">
        <v>450</v>
      </c>
    </row>
    <row r="34" spans="1:23" ht="12" customHeight="1" x14ac:dyDescent="0.2">
      <c r="A34" s="125"/>
      <c r="B34" s="362">
        <v>3111</v>
      </c>
      <c r="C34" s="362" t="s">
        <v>345</v>
      </c>
      <c r="D34" s="452" t="s">
        <v>336</v>
      </c>
      <c r="E34" s="47">
        <v>7650</v>
      </c>
      <c r="F34" s="16"/>
      <c r="G34" s="58">
        <f t="shared" si="44"/>
        <v>7650</v>
      </c>
      <c r="H34" s="416">
        <v>-7350</v>
      </c>
      <c r="I34" s="413"/>
      <c r="J34" s="47">
        <f t="shared" si="45"/>
        <v>300</v>
      </c>
      <c r="K34" s="362">
        <f>F34+I34</f>
        <v>0</v>
      </c>
      <c r="L34" s="58">
        <f t="shared" si="46"/>
        <v>300</v>
      </c>
      <c r="M34" s="47">
        <v>0</v>
      </c>
      <c r="N34" s="16"/>
      <c r="O34" s="58">
        <f t="shared" si="47"/>
        <v>0</v>
      </c>
      <c r="P34" s="529">
        <f t="shared" si="48"/>
        <v>0</v>
      </c>
      <c r="Q34" s="47">
        <v>12.705</v>
      </c>
      <c r="R34" s="16"/>
      <c r="S34" s="58">
        <f t="shared" si="49"/>
        <v>12.705</v>
      </c>
      <c r="T34" s="562">
        <f t="shared" si="6"/>
        <v>4.2349999999999994</v>
      </c>
      <c r="U34" s="386" t="s">
        <v>471</v>
      </c>
      <c r="V34" s="212" t="s">
        <v>182</v>
      </c>
      <c r="W34" s="201" t="s">
        <v>137</v>
      </c>
    </row>
    <row r="35" spans="1:23" x14ac:dyDescent="0.2">
      <c r="A35" s="125"/>
      <c r="B35" s="362">
        <v>3113</v>
      </c>
      <c r="C35" s="362">
        <v>300</v>
      </c>
      <c r="D35" s="452" t="s">
        <v>219</v>
      </c>
      <c r="E35" s="47">
        <v>2600</v>
      </c>
      <c r="F35" s="16"/>
      <c r="G35" s="58">
        <f t="shared" si="44"/>
        <v>2600</v>
      </c>
      <c r="H35" s="416"/>
      <c r="I35" s="413"/>
      <c r="J35" s="47">
        <f t="shared" si="45"/>
        <v>2600</v>
      </c>
      <c r="K35" s="16"/>
      <c r="L35" s="58">
        <f t="shared" si="46"/>
        <v>2600</v>
      </c>
      <c r="M35" s="47">
        <v>0</v>
      </c>
      <c r="N35" s="16"/>
      <c r="O35" s="58">
        <f t="shared" si="47"/>
        <v>0</v>
      </c>
      <c r="P35" s="529">
        <f t="shared" si="48"/>
        <v>0</v>
      </c>
      <c r="Q35" s="47"/>
      <c r="R35" s="16"/>
      <c r="S35" s="58">
        <f t="shared" si="49"/>
        <v>0</v>
      </c>
      <c r="T35" s="562">
        <f t="shared" si="6"/>
        <v>0</v>
      </c>
      <c r="U35" s="386" t="s">
        <v>382</v>
      </c>
      <c r="V35" s="212" t="s">
        <v>182</v>
      </c>
      <c r="W35" s="201" t="s">
        <v>137</v>
      </c>
    </row>
    <row r="36" spans="1:23" ht="12.75" customHeight="1" x14ac:dyDescent="0.2">
      <c r="A36" s="125"/>
      <c r="B36" s="362">
        <v>3113</v>
      </c>
      <c r="C36" s="362">
        <v>303</v>
      </c>
      <c r="D36" s="452" t="s">
        <v>226</v>
      </c>
      <c r="E36" s="47">
        <v>2098</v>
      </c>
      <c r="F36" s="16"/>
      <c r="G36" s="58">
        <f t="shared" si="44"/>
        <v>2098</v>
      </c>
      <c r="H36" s="412"/>
      <c r="I36" s="413"/>
      <c r="J36" s="47">
        <f t="shared" si="45"/>
        <v>2098</v>
      </c>
      <c r="K36" s="16"/>
      <c r="L36" s="58">
        <f t="shared" si="46"/>
        <v>2098</v>
      </c>
      <c r="M36" s="47">
        <v>524.5</v>
      </c>
      <c r="N36" s="16"/>
      <c r="O36" s="58">
        <f t="shared" si="47"/>
        <v>524.5</v>
      </c>
      <c r="P36" s="529">
        <f t="shared" si="48"/>
        <v>25</v>
      </c>
      <c r="Q36" s="47">
        <v>1049</v>
      </c>
      <c r="R36" s="16"/>
      <c r="S36" s="58">
        <f t="shared" si="49"/>
        <v>1049</v>
      </c>
      <c r="T36" s="562">
        <f t="shared" si="6"/>
        <v>50</v>
      </c>
      <c r="U36" s="386" t="s">
        <v>358</v>
      </c>
      <c r="V36" s="211" t="s">
        <v>218</v>
      </c>
      <c r="W36" s="200" t="s">
        <v>450</v>
      </c>
    </row>
    <row r="37" spans="1:23" x14ac:dyDescent="0.2">
      <c r="A37" s="125"/>
      <c r="B37" s="362">
        <v>3113</v>
      </c>
      <c r="C37" s="362">
        <v>303.30399999999997</v>
      </c>
      <c r="D37" s="452" t="s">
        <v>242</v>
      </c>
      <c r="E37" s="16">
        <f>888+660</f>
        <v>1548</v>
      </c>
      <c r="F37" s="16"/>
      <c r="G37" s="58">
        <f t="shared" si="44"/>
        <v>1548</v>
      </c>
      <c r="H37" s="412"/>
      <c r="I37" s="413"/>
      <c r="J37" s="47">
        <f t="shared" si="45"/>
        <v>1548</v>
      </c>
      <c r="K37" s="362"/>
      <c r="L37" s="58">
        <f t="shared" si="46"/>
        <v>1548</v>
      </c>
      <c r="M37" s="47">
        <v>0</v>
      </c>
      <c r="N37" s="16"/>
      <c r="O37" s="58">
        <f t="shared" si="47"/>
        <v>0</v>
      </c>
      <c r="P37" s="529">
        <f t="shared" si="48"/>
        <v>0</v>
      </c>
      <c r="Q37" s="47"/>
      <c r="R37" s="16"/>
      <c r="S37" s="58">
        <f t="shared" si="49"/>
        <v>0</v>
      </c>
      <c r="T37" s="562">
        <f t="shared" si="6"/>
        <v>0</v>
      </c>
      <c r="U37" s="386"/>
      <c r="V37" s="211" t="s">
        <v>218</v>
      </c>
      <c r="W37" s="200" t="s">
        <v>450</v>
      </c>
    </row>
    <row r="38" spans="1:23" x14ac:dyDescent="0.2">
      <c r="A38" s="125"/>
      <c r="B38" s="362">
        <v>3113</v>
      </c>
      <c r="C38" s="362">
        <v>304</v>
      </c>
      <c r="D38" s="452" t="s">
        <v>227</v>
      </c>
      <c r="E38" s="47">
        <v>1403</v>
      </c>
      <c r="F38" s="16"/>
      <c r="G38" s="58">
        <f t="shared" si="44"/>
        <v>1403</v>
      </c>
      <c r="H38" s="412"/>
      <c r="I38" s="413"/>
      <c r="J38" s="47">
        <f t="shared" si="45"/>
        <v>1403</v>
      </c>
      <c r="K38" s="362">
        <f>F38+I38</f>
        <v>0</v>
      </c>
      <c r="L38" s="58">
        <f t="shared" si="46"/>
        <v>1403</v>
      </c>
      <c r="M38" s="47">
        <v>350.75</v>
      </c>
      <c r="N38" s="16"/>
      <c r="O38" s="58">
        <f t="shared" si="47"/>
        <v>350.75</v>
      </c>
      <c r="P38" s="529">
        <f t="shared" si="48"/>
        <v>25</v>
      </c>
      <c r="Q38" s="47">
        <v>701.5</v>
      </c>
      <c r="R38" s="16"/>
      <c r="S38" s="58">
        <f t="shared" si="49"/>
        <v>701.5</v>
      </c>
      <c r="T38" s="562">
        <f t="shared" si="6"/>
        <v>50</v>
      </c>
      <c r="U38" s="386" t="s">
        <v>496</v>
      </c>
      <c r="V38" s="211" t="s">
        <v>218</v>
      </c>
      <c r="W38" s="200" t="s">
        <v>450</v>
      </c>
    </row>
    <row r="39" spans="1:23" x14ac:dyDescent="0.2">
      <c r="A39" s="125"/>
      <c r="B39" s="362">
        <v>3113</v>
      </c>
      <c r="C39" s="362">
        <v>4169</v>
      </c>
      <c r="D39" s="452" t="s">
        <v>323</v>
      </c>
      <c r="E39" s="47">
        <v>3</v>
      </c>
      <c r="F39" s="16"/>
      <c r="G39" s="58">
        <f t="shared" si="44"/>
        <v>3</v>
      </c>
      <c r="H39" s="412"/>
      <c r="I39" s="413"/>
      <c r="J39" s="47">
        <f t="shared" si="45"/>
        <v>3</v>
      </c>
      <c r="K39" s="362">
        <f>F39+I39</f>
        <v>0</v>
      </c>
      <c r="L39" s="58">
        <f t="shared" si="46"/>
        <v>3</v>
      </c>
      <c r="M39" s="47">
        <v>0.36667</v>
      </c>
      <c r="N39" s="16"/>
      <c r="O39" s="58">
        <f t="shared" si="47"/>
        <v>0.36667</v>
      </c>
      <c r="P39" s="529">
        <f t="shared" si="48"/>
        <v>12.222333333333333</v>
      </c>
      <c r="Q39" s="47">
        <v>0.36667</v>
      </c>
      <c r="R39" s="16"/>
      <c r="S39" s="58">
        <f t="shared" si="49"/>
        <v>0.36667</v>
      </c>
      <c r="T39" s="562">
        <f t="shared" si="6"/>
        <v>12.222333333333333</v>
      </c>
      <c r="U39" s="386" t="s">
        <v>472</v>
      </c>
      <c r="V39" s="212" t="s">
        <v>370</v>
      </c>
      <c r="W39" s="201" t="s">
        <v>137</v>
      </c>
    </row>
    <row r="40" spans="1:23" x14ac:dyDescent="0.2">
      <c r="A40" s="125"/>
      <c r="B40" s="362">
        <v>3119</v>
      </c>
      <c r="C40" s="362">
        <v>1112</v>
      </c>
      <c r="D40" s="452" t="s">
        <v>254</v>
      </c>
      <c r="E40" s="47">
        <v>160</v>
      </c>
      <c r="F40" s="16"/>
      <c r="G40" s="58">
        <f t="shared" si="44"/>
        <v>160</v>
      </c>
      <c r="H40" s="416"/>
      <c r="I40" s="413"/>
      <c r="J40" s="47">
        <f t="shared" si="45"/>
        <v>160</v>
      </c>
      <c r="K40" s="362">
        <f t="shared" ref="K40" si="50">F40+I40</f>
        <v>0</v>
      </c>
      <c r="L40" s="58">
        <f t="shared" si="46"/>
        <v>160</v>
      </c>
      <c r="M40" s="47">
        <v>0</v>
      </c>
      <c r="N40" s="16"/>
      <c r="O40" s="58">
        <f t="shared" si="47"/>
        <v>0</v>
      </c>
      <c r="P40" s="529">
        <f t="shared" ref="P40:P47" si="51">O40/$L40*100</f>
        <v>0</v>
      </c>
      <c r="Q40" s="47">
        <v>80</v>
      </c>
      <c r="R40" s="16"/>
      <c r="S40" s="58">
        <f t="shared" si="49"/>
        <v>80</v>
      </c>
      <c r="T40" s="562">
        <f t="shared" si="6"/>
        <v>50</v>
      </c>
      <c r="U40" s="386" t="s">
        <v>400</v>
      </c>
      <c r="V40" s="211" t="s">
        <v>218</v>
      </c>
      <c r="W40" s="200" t="s">
        <v>450</v>
      </c>
    </row>
    <row r="41" spans="1:23" x14ac:dyDescent="0.2">
      <c r="A41" s="125"/>
      <c r="B41" s="362">
        <v>3141</v>
      </c>
      <c r="C41" s="362">
        <v>309</v>
      </c>
      <c r="D41" s="452" t="s">
        <v>262</v>
      </c>
      <c r="E41" s="47">
        <v>1847</v>
      </c>
      <c r="F41" s="16">
        <v>135</v>
      </c>
      <c r="G41" s="58">
        <f t="shared" si="44"/>
        <v>1982</v>
      </c>
      <c r="H41" s="416"/>
      <c r="I41" s="413"/>
      <c r="J41" s="47">
        <f t="shared" si="45"/>
        <v>1847</v>
      </c>
      <c r="K41" s="362">
        <f>F41+I41</f>
        <v>135</v>
      </c>
      <c r="L41" s="58">
        <f t="shared" si="46"/>
        <v>1982</v>
      </c>
      <c r="M41" s="47">
        <v>373.00704999999999</v>
      </c>
      <c r="N41" s="16"/>
      <c r="O41" s="58">
        <f t="shared" si="47"/>
        <v>373.00704999999999</v>
      </c>
      <c r="P41" s="529">
        <f t="shared" si="51"/>
        <v>18.819730070635721</v>
      </c>
      <c r="Q41" s="47">
        <v>888.827</v>
      </c>
      <c r="R41" s="16"/>
      <c r="S41" s="58">
        <f t="shared" si="49"/>
        <v>888.827</v>
      </c>
      <c r="T41" s="562">
        <f t="shared" si="6"/>
        <v>44.844954591321894</v>
      </c>
      <c r="U41" s="386"/>
      <c r="V41" s="211" t="s">
        <v>555</v>
      </c>
      <c r="W41" s="205" t="s">
        <v>278</v>
      </c>
    </row>
    <row r="42" spans="1:23" x14ac:dyDescent="0.2">
      <c r="A42" s="125"/>
      <c r="B42" s="362">
        <v>3231</v>
      </c>
      <c r="C42" s="362">
        <v>310</v>
      </c>
      <c r="D42" s="452" t="s">
        <v>321</v>
      </c>
      <c r="E42" s="47">
        <v>254</v>
      </c>
      <c r="F42" s="16"/>
      <c r="G42" s="58">
        <f t="shared" si="44"/>
        <v>254</v>
      </c>
      <c r="H42" s="412"/>
      <c r="I42" s="413"/>
      <c r="J42" s="47">
        <f t="shared" si="45"/>
        <v>254</v>
      </c>
      <c r="K42" s="362">
        <f>F42+I42</f>
        <v>0</v>
      </c>
      <c r="L42" s="58">
        <f t="shared" si="46"/>
        <v>254</v>
      </c>
      <c r="M42" s="47">
        <v>63.5</v>
      </c>
      <c r="N42" s="16"/>
      <c r="O42" s="58">
        <f t="shared" si="47"/>
        <v>63.5</v>
      </c>
      <c r="P42" s="529">
        <f t="shared" si="51"/>
        <v>25</v>
      </c>
      <c r="Q42" s="47">
        <v>127</v>
      </c>
      <c r="R42" s="16"/>
      <c r="S42" s="58">
        <f t="shared" si="49"/>
        <v>127</v>
      </c>
      <c r="T42" s="562">
        <f t="shared" si="6"/>
        <v>50</v>
      </c>
      <c r="U42" s="386"/>
      <c r="V42" s="211" t="s">
        <v>218</v>
      </c>
      <c r="W42" s="200" t="s">
        <v>450</v>
      </c>
    </row>
    <row r="43" spans="1:23" x14ac:dyDescent="0.2">
      <c r="A43" s="127"/>
      <c r="B43" s="36">
        <v>3231</v>
      </c>
      <c r="C43" s="36">
        <v>310</v>
      </c>
      <c r="D43" s="454" t="s">
        <v>243</v>
      </c>
      <c r="E43" s="62">
        <v>66</v>
      </c>
      <c r="F43" s="65"/>
      <c r="G43" s="64">
        <f t="shared" si="44"/>
        <v>66</v>
      </c>
      <c r="H43" s="421"/>
      <c r="I43" s="418"/>
      <c r="J43" s="62">
        <f>E43+H43</f>
        <v>66</v>
      </c>
      <c r="K43" s="36">
        <f>F43+I43</f>
        <v>0</v>
      </c>
      <c r="L43" s="64">
        <f t="shared" si="46"/>
        <v>66</v>
      </c>
      <c r="M43" s="62">
        <v>0</v>
      </c>
      <c r="N43" s="65"/>
      <c r="O43" s="64">
        <f t="shared" si="47"/>
        <v>0</v>
      </c>
      <c r="P43" s="531">
        <f t="shared" si="51"/>
        <v>0</v>
      </c>
      <c r="Q43" s="62"/>
      <c r="R43" s="65"/>
      <c r="S43" s="64">
        <f t="shared" si="49"/>
        <v>0</v>
      </c>
      <c r="T43" s="564">
        <f t="shared" si="6"/>
        <v>0</v>
      </c>
      <c r="U43" s="388"/>
      <c r="V43" s="278" t="s">
        <v>218</v>
      </c>
      <c r="W43" s="204" t="s">
        <v>450</v>
      </c>
    </row>
    <row r="44" spans="1:23" x14ac:dyDescent="0.2">
      <c r="A44" s="90">
        <v>33</v>
      </c>
      <c r="B44" s="32">
        <v>3300</v>
      </c>
      <c r="C44" s="32"/>
      <c r="D44" s="455" t="s">
        <v>71</v>
      </c>
      <c r="E44" s="19">
        <f t="shared" ref="E44:O44" si="52">SUM(E45:E55)</f>
        <v>13735</v>
      </c>
      <c r="F44" s="18">
        <f t="shared" si="52"/>
        <v>0</v>
      </c>
      <c r="G44" s="57">
        <f t="shared" si="52"/>
        <v>13735</v>
      </c>
      <c r="H44" s="419">
        <f t="shared" si="52"/>
        <v>2420</v>
      </c>
      <c r="I44" s="420">
        <f t="shared" si="52"/>
        <v>0</v>
      </c>
      <c r="J44" s="56">
        <f t="shared" si="52"/>
        <v>16155</v>
      </c>
      <c r="K44" s="18">
        <f t="shared" si="52"/>
        <v>0</v>
      </c>
      <c r="L44" s="57">
        <f t="shared" si="52"/>
        <v>16155</v>
      </c>
      <c r="M44" s="56">
        <f t="shared" si="52"/>
        <v>2447.8481999999999</v>
      </c>
      <c r="N44" s="18">
        <f t="shared" si="52"/>
        <v>0</v>
      </c>
      <c r="O44" s="57">
        <f t="shared" si="52"/>
        <v>2447.8481999999999</v>
      </c>
      <c r="P44" s="532">
        <f t="shared" si="51"/>
        <v>15.152263695450324</v>
      </c>
      <c r="Q44" s="56">
        <f>SUM(Q45:Q55)</f>
        <v>4654.8361000000004</v>
      </c>
      <c r="R44" s="18">
        <f>SUM(R45:R55)</f>
        <v>0</v>
      </c>
      <c r="S44" s="57">
        <f>SUM(S45:S55)</f>
        <v>4654.8361000000004</v>
      </c>
      <c r="T44" s="565">
        <f t="shared" si="6"/>
        <v>28.81359393376664</v>
      </c>
      <c r="U44" s="389"/>
      <c r="V44" s="213"/>
      <c r="W44" s="85"/>
    </row>
    <row r="45" spans="1:23" x14ac:dyDescent="0.2">
      <c r="A45" s="125"/>
      <c r="B45" s="362">
        <v>3315</v>
      </c>
      <c r="C45" s="362">
        <v>505</v>
      </c>
      <c r="D45" s="452" t="s">
        <v>252</v>
      </c>
      <c r="E45" s="47">
        <v>1285</v>
      </c>
      <c r="F45" s="16"/>
      <c r="G45" s="58">
        <f t="shared" ref="G45:G54" si="53">E45+F45</f>
        <v>1285</v>
      </c>
      <c r="H45" s="416"/>
      <c r="I45" s="413"/>
      <c r="J45" s="47">
        <f t="shared" ref="J45:J55" si="54">E45+H45</f>
        <v>1285</v>
      </c>
      <c r="K45" s="16"/>
      <c r="L45" s="58">
        <f t="shared" ref="L45:L52" si="55">SUM(J45:K45)</f>
        <v>1285</v>
      </c>
      <c r="M45" s="47">
        <v>400</v>
      </c>
      <c r="N45" s="16"/>
      <c r="O45" s="58">
        <f t="shared" ref="O45:O52" si="56">M45+N45</f>
        <v>400</v>
      </c>
      <c r="P45" s="529">
        <f t="shared" si="51"/>
        <v>31.1284046692607</v>
      </c>
      <c r="Q45" s="47">
        <v>400</v>
      </c>
      <c r="R45" s="16"/>
      <c r="S45" s="58">
        <f t="shared" ref="S45:S52" si="57">Q45+R45</f>
        <v>400</v>
      </c>
      <c r="T45" s="562">
        <f t="shared" ref="T45:T52" si="58">S45/$L45*100</f>
        <v>31.1284046692607</v>
      </c>
      <c r="U45" s="386" t="s">
        <v>366</v>
      </c>
      <c r="V45" s="211" t="s">
        <v>218</v>
      </c>
      <c r="W45" s="200" t="s">
        <v>450</v>
      </c>
    </row>
    <row r="46" spans="1:23" ht="12.75" customHeight="1" x14ac:dyDescent="0.2">
      <c r="A46" s="125"/>
      <c r="B46" s="362">
        <v>3319</v>
      </c>
      <c r="C46" s="362">
        <v>5110</v>
      </c>
      <c r="D46" s="452" t="s">
        <v>342</v>
      </c>
      <c r="E46" s="47">
        <v>40</v>
      </c>
      <c r="F46" s="16"/>
      <c r="G46" s="58">
        <f t="shared" si="53"/>
        <v>40</v>
      </c>
      <c r="H46" s="422"/>
      <c r="I46" s="423"/>
      <c r="J46" s="47">
        <f t="shared" si="54"/>
        <v>40</v>
      </c>
      <c r="K46" s="16"/>
      <c r="L46" s="58">
        <f t="shared" si="55"/>
        <v>40</v>
      </c>
      <c r="M46" s="47">
        <v>40</v>
      </c>
      <c r="N46" s="16"/>
      <c r="O46" s="58">
        <f t="shared" si="56"/>
        <v>40</v>
      </c>
      <c r="P46" s="529">
        <f t="shared" si="51"/>
        <v>100</v>
      </c>
      <c r="Q46" s="47">
        <v>40</v>
      </c>
      <c r="R46" s="16"/>
      <c r="S46" s="58">
        <f t="shared" si="57"/>
        <v>40</v>
      </c>
      <c r="T46" s="562">
        <f t="shared" si="58"/>
        <v>100</v>
      </c>
      <c r="U46" s="386" t="s">
        <v>359</v>
      </c>
      <c r="V46" s="211" t="s">
        <v>218</v>
      </c>
      <c r="W46" s="200" t="s">
        <v>450</v>
      </c>
    </row>
    <row r="47" spans="1:23" ht="12.75" customHeight="1" x14ac:dyDescent="0.2">
      <c r="A47" s="125"/>
      <c r="B47" s="362">
        <v>3319</v>
      </c>
      <c r="C47" s="362">
        <v>112</v>
      </c>
      <c r="D47" s="452" t="s">
        <v>340</v>
      </c>
      <c r="E47" s="47">
        <v>248</v>
      </c>
      <c r="F47" s="16"/>
      <c r="G47" s="58">
        <f t="shared" si="53"/>
        <v>248</v>
      </c>
      <c r="H47" s="422"/>
      <c r="I47" s="423"/>
      <c r="J47" s="47">
        <f t="shared" si="54"/>
        <v>248</v>
      </c>
      <c r="K47" s="16"/>
      <c r="L47" s="58">
        <f t="shared" si="55"/>
        <v>248</v>
      </c>
      <c r="M47" s="47">
        <v>0</v>
      </c>
      <c r="N47" s="16"/>
      <c r="O47" s="58">
        <f t="shared" si="56"/>
        <v>0</v>
      </c>
      <c r="P47" s="529">
        <f t="shared" si="51"/>
        <v>0</v>
      </c>
      <c r="Q47" s="47">
        <v>240.5</v>
      </c>
      <c r="R47" s="16"/>
      <c r="S47" s="58">
        <f t="shared" si="57"/>
        <v>240.5</v>
      </c>
      <c r="T47" s="562">
        <f t="shared" si="58"/>
        <v>96.975806451612897</v>
      </c>
      <c r="U47" s="386" t="s">
        <v>441</v>
      </c>
      <c r="V47" s="211" t="s">
        <v>337</v>
      </c>
      <c r="W47" s="200" t="s">
        <v>450</v>
      </c>
    </row>
    <row r="48" spans="1:23" x14ac:dyDescent="0.2">
      <c r="A48" s="125"/>
      <c r="B48" s="362">
        <v>3322.3326000000002</v>
      </c>
      <c r="C48" s="362" t="s">
        <v>246</v>
      </c>
      <c r="D48" s="452" t="s">
        <v>167</v>
      </c>
      <c r="E48" s="47">
        <v>3038</v>
      </c>
      <c r="F48" s="16"/>
      <c r="G48" s="58">
        <f t="shared" si="53"/>
        <v>3038</v>
      </c>
      <c r="H48" s="412">
        <v>1170</v>
      </c>
      <c r="I48" s="413"/>
      <c r="J48" s="47">
        <f t="shared" si="54"/>
        <v>4208</v>
      </c>
      <c r="K48" s="16"/>
      <c r="L48" s="58">
        <f t="shared" si="55"/>
        <v>4208</v>
      </c>
      <c r="M48" s="47">
        <v>28.1325</v>
      </c>
      <c r="N48" s="16"/>
      <c r="O48" s="58">
        <f t="shared" si="56"/>
        <v>28.1325</v>
      </c>
      <c r="P48" s="529">
        <f>O48/$L48*100</f>
        <v>0.66854800380228141</v>
      </c>
      <c r="Q48" s="47">
        <v>412.49919999999997</v>
      </c>
      <c r="R48" s="16"/>
      <c r="S48" s="58">
        <f t="shared" si="57"/>
        <v>412.49919999999997</v>
      </c>
      <c r="T48" s="562">
        <f t="shared" si="58"/>
        <v>9.8027376425855497</v>
      </c>
      <c r="U48" s="386"/>
      <c r="V48" s="214" t="s">
        <v>325</v>
      </c>
      <c r="W48" s="201" t="s">
        <v>137</v>
      </c>
    </row>
    <row r="49" spans="1:161" x14ac:dyDescent="0.2">
      <c r="A49" s="125"/>
      <c r="B49" s="362">
        <v>3326</v>
      </c>
      <c r="C49" s="362">
        <v>103</v>
      </c>
      <c r="D49" s="452" t="s">
        <v>230</v>
      </c>
      <c r="E49" s="47">
        <v>50</v>
      </c>
      <c r="F49" s="16"/>
      <c r="G49" s="58">
        <f t="shared" si="53"/>
        <v>50</v>
      </c>
      <c r="H49" s="416"/>
      <c r="I49" s="413"/>
      <c r="J49" s="47">
        <f t="shared" si="54"/>
        <v>50</v>
      </c>
      <c r="K49" s="16"/>
      <c r="L49" s="58">
        <f t="shared" si="55"/>
        <v>50</v>
      </c>
      <c r="M49" s="47">
        <v>0</v>
      </c>
      <c r="N49" s="16"/>
      <c r="O49" s="58">
        <f t="shared" si="56"/>
        <v>0</v>
      </c>
      <c r="P49" s="529">
        <f>O49/$L49*100</f>
        <v>0</v>
      </c>
      <c r="Q49" s="47">
        <v>3.2669999999999999</v>
      </c>
      <c r="R49" s="16"/>
      <c r="S49" s="58">
        <f t="shared" si="57"/>
        <v>3.2669999999999999</v>
      </c>
      <c r="T49" s="562">
        <f t="shared" si="58"/>
        <v>6.5339999999999998</v>
      </c>
      <c r="U49" s="386"/>
      <c r="V49" s="214" t="s">
        <v>325</v>
      </c>
      <c r="W49" s="201" t="s">
        <v>137</v>
      </c>
    </row>
    <row r="50" spans="1:161" x14ac:dyDescent="0.2">
      <c r="A50" s="125"/>
      <c r="B50" s="362">
        <v>3349</v>
      </c>
      <c r="C50" s="362">
        <v>42</v>
      </c>
      <c r="D50" s="452" t="s">
        <v>72</v>
      </c>
      <c r="E50" s="47">
        <f>323+50+25</f>
        <v>398</v>
      </c>
      <c r="F50" s="16"/>
      <c r="G50" s="58">
        <f t="shared" si="53"/>
        <v>398</v>
      </c>
      <c r="H50" s="416"/>
      <c r="I50" s="413"/>
      <c r="J50" s="47">
        <f t="shared" si="54"/>
        <v>398</v>
      </c>
      <c r="K50" s="16"/>
      <c r="L50" s="58">
        <f t="shared" si="55"/>
        <v>398</v>
      </c>
      <c r="M50" s="47">
        <v>129.17583999999999</v>
      </c>
      <c r="N50" s="16"/>
      <c r="O50" s="58">
        <f t="shared" si="56"/>
        <v>129.17583999999999</v>
      </c>
      <c r="P50" s="529">
        <f>O50/$L50*100</f>
        <v>32.45624120603015</v>
      </c>
      <c r="Q50" s="47">
        <v>226.21904000000001</v>
      </c>
      <c r="R50" s="16"/>
      <c r="S50" s="58">
        <f t="shared" si="57"/>
        <v>226.21904000000001</v>
      </c>
      <c r="T50" s="562">
        <f t="shared" si="58"/>
        <v>56.838954773869347</v>
      </c>
      <c r="U50" s="386"/>
      <c r="V50" s="261" t="s">
        <v>263</v>
      </c>
      <c r="W50" s="260" t="s">
        <v>69</v>
      </c>
      <c r="FE50" s="109">
        <f>SUM(Q50:FD50)</f>
        <v>509.27703477386933</v>
      </c>
    </row>
    <row r="51" spans="1:161" x14ac:dyDescent="0.2">
      <c r="A51" s="125"/>
      <c r="B51" s="362">
        <v>3392</v>
      </c>
      <c r="C51" s="362">
        <v>312</v>
      </c>
      <c r="D51" s="452" t="s">
        <v>251</v>
      </c>
      <c r="E51" s="16">
        <f>2275+3659</f>
        <v>5934</v>
      </c>
      <c r="F51" s="16"/>
      <c r="G51" s="58">
        <f t="shared" si="53"/>
        <v>5934</v>
      </c>
      <c r="H51" s="412"/>
      <c r="I51" s="424"/>
      <c r="J51" s="47">
        <f t="shared" si="54"/>
        <v>5934</v>
      </c>
      <c r="K51" s="16"/>
      <c r="L51" s="58">
        <f t="shared" si="55"/>
        <v>5934</v>
      </c>
      <c r="M51" s="47">
        <v>1506.75</v>
      </c>
      <c r="N51" s="16"/>
      <c r="O51" s="58">
        <f t="shared" si="56"/>
        <v>1506.75</v>
      </c>
      <c r="P51" s="529">
        <f>O51/$L51*100</f>
        <v>25.39180990899899</v>
      </c>
      <c r="Q51" s="47">
        <v>2967</v>
      </c>
      <c r="R51" s="16"/>
      <c r="S51" s="58">
        <f t="shared" si="57"/>
        <v>2967</v>
      </c>
      <c r="T51" s="562">
        <f t="shared" si="58"/>
        <v>50</v>
      </c>
      <c r="U51" s="386" t="s">
        <v>473</v>
      </c>
      <c r="V51" s="211" t="s">
        <v>218</v>
      </c>
      <c r="W51" s="200" t="s">
        <v>450</v>
      </c>
    </row>
    <row r="52" spans="1:161" x14ac:dyDescent="0.2">
      <c r="A52" s="125"/>
      <c r="B52" s="362">
        <v>3392</v>
      </c>
      <c r="C52" s="362" t="s">
        <v>245</v>
      </c>
      <c r="D52" s="452" t="s">
        <v>244</v>
      </c>
      <c r="E52" s="47">
        <v>655</v>
      </c>
      <c r="F52" s="16"/>
      <c r="G52" s="58">
        <f t="shared" si="53"/>
        <v>655</v>
      </c>
      <c r="H52" s="422"/>
      <c r="I52" s="423"/>
      <c r="J52" s="47">
        <f t="shared" si="54"/>
        <v>655</v>
      </c>
      <c r="K52" s="16"/>
      <c r="L52" s="58">
        <f t="shared" si="55"/>
        <v>655</v>
      </c>
      <c r="M52" s="47">
        <v>0</v>
      </c>
      <c r="N52" s="16"/>
      <c r="O52" s="58">
        <f t="shared" si="56"/>
        <v>0</v>
      </c>
      <c r="P52" s="529">
        <f>O52/$L52*100</f>
        <v>0</v>
      </c>
      <c r="Q52" s="47"/>
      <c r="R52" s="16"/>
      <c r="S52" s="58">
        <f t="shared" si="57"/>
        <v>0</v>
      </c>
      <c r="T52" s="562">
        <f t="shared" si="58"/>
        <v>0</v>
      </c>
      <c r="U52" s="386"/>
      <c r="V52" s="211" t="s">
        <v>218</v>
      </c>
      <c r="W52" s="200" t="s">
        <v>450</v>
      </c>
    </row>
    <row r="53" spans="1:161" s="328" customFormat="1" x14ac:dyDescent="0.2">
      <c r="A53" s="125"/>
      <c r="B53" s="362">
        <v>3392</v>
      </c>
      <c r="C53" s="362">
        <v>312</v>
      </c>
      <c r="D53" s="452" t="s">
        <v>445</v>
      </c>
      <c r="E53" s="47">
        <v>1100</v>
      </c>
      <c r="F53" s="16"/>
      <c r="G53" s="58">
        <f t="shared" si="53"/>
        <v>1100</v>
      </c>
      <c r="H53" s="422"/>
      <c r="I53" s="423"/>
      <c r="J53" s="47">
        <f t="shared" ref="J53:J54" si="59">E53+H53</f>
        <v>1100</v>
      </c>
      <c r="K53" s="16"/>
      <c r="L53" s="58">
        <f t="shared" ref="L53:L54" si="60">SUM(J53:K53)</f>
        <v>1100</v>
      </c>
      <c r="M53" s="47">
        <v>0</v>
      </c>
      <c r="N53" s="16"/>
      <c r="O53" s="58">
        <f t="shared" ref="O53:O54" si="61">M53+N53</f>
        <v>0</v>
      </c>
      <c r="P53" s="529">
        <f t="shared" ref="P53:P54" si="62">O53/$L53*100</f>
        <v>0</v>
      </c>
      <c r="Q53" s="47"/>
      <c r="R53" s="16"/>
      <c r="S53" s="58">
        <f t="shared" ref="S53:S54" si="63">Q53+R53</f>
        <v>0</v>
      </c>
      <c r="T53" s="562">
        <f t="shared" ref="T53:T54" si="64">S53/$L53*100</f>
        <v>0</v>
      </c>
      <c r="U53" s="386"/>
      <c r="V53" s="211" t="s">
        <v>218</v>
      </c>
      <c r="W53" s="200" t="s">
        <v>450</v>
      </c>
    </row>
    <row r="54" spans="1:161" s="328" customFormat="1" x14ac:dyDescent="0.2">
      <c r="A54" s="125"/>
      <c r="B54" s="362">
        <v>3392</v>
      </c>
      <c r="C54" s="362">
        <v>312</v>
      </c>
      <c r="D54" s="452" t="s">
        <v>544</v>
      </c>
      <c r="E54" s="47">
        <f>935-88</f>
        <v>847</v>
      </c>
      <c r="F54" s="16"/>
      <c r="G54" s="58">
        <f t="shared" si="53"/>
        <v>847</v>
      </c>
      <c r="H54" s="422">
        <v>1250</v>
      </c>
      <c r="I54" s="423"/>
      <c r="J54" s="47">
        <f t="shared" si="59"/>
        <v>2097</v>
      </c>
      <c r="K54" s="16"/>
      <c r="L54" s="58">
        <f t="shared" si="60"/>
        <v>2097</v>
      </c>
      <c r="M54" s="47">
        <v>335.01985999999999</v>
      </c>
      <c r="N54" s="16"/>
      <c r="O54" s="58">
        <f t="shared" si="61"/>
        <v>335.01985999999999</v>
      </c>
      <c r="P54" s="529">
        <f t="shared" si="62"/>
        <v>15.976149737720553</v>
      </c>
      <c r="Q54" s="47">
        <v>335.01985999999999</v>
      </c>
      <c r="R54" s="16"/>
      <c r="S54" s="58">
        <f t="shared" si="63"/>
        <v>335.01985999999999</v>
      </c>
      <c r="T54" s="562">
        <f t="shared" si="64"/>
        <v>15.976149737720553</v>
      </c>
      <c r="U54" s="386" t="s">
        <v>545</v>
      </c>
      <c r="V54" s="211" t="s">
        <v>218</v>
      </c>
      <c r="W54" s="200" t="s">
        <v>450</v>
      </c>
    </row>
    <row r="55" spans="1:161" x14ac:dyDescent="0.2">
      <c r="A55" s="125"/>
      <c r="B55" s="362">
        <v>3399</v>
      </c>
      <c r="C55" s="362">
        <v>313</v>
      </c>
      <c r="D55" s="452" t="s">
        <v>122</v>
      </c>
      <c r="E55" s="47">
        <f>125+15</f>
        <v>140</v>
      </c>
      <c r="F55" s="16"/>
      <c r="G55" s="58">
        <f>E55+F55</f>
        <v>140</v>
      </c>
      <c r="H55" s="416"/>
      <c r="I55" s="413"/>
      <c r="J55" s="47">
        <f t="shared" si="54"/>
        <v>140</v>
      </c>
      <c r="K55" s="16"/>
      <c r="L55" s="58">
        <f>SUM(J55:K55)</f>
        <v>140</v>
      </c>
      <c r="M55" s="47">
        <v>8.77</v>
      </c>
      <c r="N55" s="16"/>
      <c r="O55" s="58">
        <f>M55+N55</f>
        <v>8.77</v>
      </c>
      <c r="P55" s="529">
        <f t="shared" ref="P55:P63" si="65">O55/$L55*100</f>
        <v>6.2642857142857142</v>
      </c>
      <c r="Q55" s="47">
        <v>30.331</v>
      </c>
      <c r="R55" s="16"/>
      <c r="S55" s="58">
        <f>Q55+R55</f>
        <v>30.331</v>
      </c>
      <c r="T55" s="562">
        <f t="shared" si="6"/>
        <v>21.664999999999999</v>
      </c>
      <c r="U55" s="386" t="s">
        <v>271</v>
      </c>
      <c r="V55" s="261" t="s">
        <v>263</v>
      </c>
      <c r="W55" s="271" t="s">
        <v>405</v>
      </c>
    </row>
    <row r="56" spans="1:161" x14ac:dyDescent="0.2">
      <c r="A56" s="126">
        <v>34</v>
      </c>
      <c r="B56" s="24">
        <v>3400</v>
      </c>
      <c r="C56" s="24"/>
      <c r="D56" s="453" t="s">
        <v>73</v>
      </c>
      <c r="E56" s="450">
        <f t="shared" ref="E56:O56" si="66">SUM(E57:E63)</f>
        <v>6452</v>
      </c>
      <c r="F56" s="60">
        <f t="shared" si="66"/>
        <v>6700</v>
      </c>
      <c r="G56" s="61">
        <f t="shared" si="66"/>
        <v>13152</v>
      </c>
      <c r="H56" s="414">
        <f t="shared" si="66"/>
        <v>0</v>
      </c>
      <c r="I56" s="415">
        <f t="shared" si="66"/>
        <v>0</v>
      </c>
      <c r="J56" s="59">
        <f t="shared" si="66"/>
        <v>6452</v>
      </c>
      <c r="K56" s="60">
        <f t="shared" si="66"/>
        <v>6700</v>
      </c>
      <c r="L56" s="61">
        <f t="shared" si="66"/>
        <v>13152</v>
      </c>
      <c r="M56" s="59">
        <f t="shared" si="66"/>
        <v>1432.3316</v>
      </c>
      <c r="N56" s="60">
        <f t="shared" si="66"/>
        <v>0</v>
      </c>
      <c r="O56" s="61">
        <f t="shared" si="66"/>
        <v>1432.3316</v>
      </c>
      <c r="P56" s="530">
        <f t="shared" si="65"/>
        <v>10.890599148418492</v>
      </c>
      <c r="Q56" s="59">
        <f>SUM(Q57:Q63)</f>
        <v>3667.08439</v>
      </c>
      <c r="R56" s="60">
        <f>SUM(R57:R63)</f>
        <v>1300</v>
      </c>
      <c r="S56" s="572">
        <f>SUM(S57:S63)</f>
        <v>4967.08439</v>
      </c>
      <c r="T56" s="563">
        <f t="shared" si="6"/>
        <v>37.766760872871046</v>
      </c>
      <c r="U56" s="574"/>
      <c r="V56" s="213"/>
      <c r="W56" s="85"/>
    </row>
    <row r="57" spans="1:161" ht="13.5" customHeight="1" x14ac:dyDescent="0.2">
      <c r="A57" s="125"/>
      <c r="B57" s="362">
        <v>3412</v>
      </c>
      <c r="C57" s="362">
        <v>506</v>
      </c>
      <c r="D57" s="452" t="s">
        <v>322</v>
      </c>
      <c r="E57" s="47">
        <v>5230</v>
      </c>
      <c r="F57" s="16"/>
      <c r="G57" s="58">
        <f t="shared" ref="G57:G63" si="67">E57+F57</f>
        <v>5230</v>
      </c>
      <c r="H57" s="422"/>
      <c r="I57" s="413"/>
      <c r="J57" s="47">
        <f t="shared" ref="J57:K61" si="68">E57+H57</f>
        <v>5230</v>
      </c>
      <c r="K57" s="16">
        <f t="shared" si="68"/>
        <v>0</v>
      </c>
      <c r="L57" s="58">
        <f t="shared" ref="L57:L63" si="69">SUM(J57:K57)</f>
        <v>5230</v>
      </c>
      <c r="M57" s="47">
        <v>1307.5</v>
      </c>
      <c r="N57" s="16"/>
      <c r="O57" s="58">
        <f t="shared" ref="O57:O59" si="70">M57+N57</f>
        <v>1307.5</v>
      </c>
      <c r="P57" s="529">
        <f t="shared" si="65"/>
        <v>25</v>
      </c>
      <c r="Q57" s="47">
        <v>2615</v>
      </c>
      <c r="R57" s="16"/>
      <c r="S57" s="573">
        <f t="shared" ref="S57:S59" si="71">Q57+R57</f>
        <v>2615</v>
      </c>
      <c r="T57" s="562">
        <f t="shared" si="6"/>
        <v>50</v>
      </c>
      <c r="U57" s="575" t="s">
        <v>324</v>
      </c>
      <c r="V57" s="211" t="s">
        <v>218</v>
      </c>
      <c r="W57" s="200" t="s">
        <v>450</v>
      </c>
    </row>
    <row r="58" spans="1:161" ht="13.5" customHeight="1" x14ac:dyDescent="0.2">
      <c r="A58" s="125"/>
      <c r="B58" s="362">
        <v>3412</v>
      </c>
      <c r="C58" s="362">
        <v>506</v>
      </c>
      <c r="D58" s="452" t="s">
        <v>498</v>
      </c>
      <c r="E58" s="47"/>
      <c r="F58" s="16">
        <v>6300</v>
      </c>
      <c r="G58" s="58">
        <f t="shared" si="67"/>
        <v>6300</v>
      </c>
      <c r="H58" s="422"/>
      <c r="I58" s="413"/>
      <c r="J58" s="47">
        <f t="shared" si="68"/>
        <v>0</v>
      </c>
      <c r="K58" s="16">
        <f t="shared" si="68"/>
        <v>6300</v>
      </c>
      <c r="L58" s="58">
        <f t="shared" si="69"/>
        <v>6300</v>
      </c>
      <c r="M58" s="47">
        <v>0</v>
      </c>
      <c r="N58" s="16"/>
      <c r="O58" s="58">
        <f t="shared" si="70"/>
        <v>0</v>
      </c>
      <c r="P58" s="529">
        <f t="shared" si="65"/>
        <v>0</v>
      </c>
      <c r="Q58" s="47"/>
      <c r="R58" s="16">
        <v>1300</v>
      </c>
      <c r="S58" s="573">
        <f t="shared" si="71"/>
        <v>1300</v>
      </c>
      <c r="T58" s="562">
        <f t="shared" si="6"/>
        <v>20.634920634920633</v>
      </c>
      <c r="U58" s="575" t="s">
        <v>401</v>
      </c>
      <c r="V58" s="211" t="s">
        <v>218</v>
      </c>
      <c r="W58" s="200" t="s">
        <v>450</v>
      </c>
    </row>
    <row r="59" spans="1:161" ht="13.5" customHeight="1" x14ac:dyDescent="0.2">
      <c r="A59" s="125"/>
      <c r="B59" s="362">
        <v>3412</v>
      </c>
      <c r="C59" s="362">
        <v>216</v>
      </c>
      <c r="D59" s="452" t="s">
        <v>327</v>
      </c>
      <c r="E59" s="47">
        <v>197</v>
      </c>
      <c r="F59" s="16"/>
      <c r="G59" s="58">
        <f t="shared" si="67"/>
        <v>197</v>
      </c>
      <c r="H59" s="422"/>
      <c r="I59" s="413"/>
      <c r="J59" s="47">
        <f t="shared" si="68"/>
        <v>197</v>
      </c>
      <c r="K59" s="16">
        <f t="shared" si="68"/>
        <v>0</v>
      </c>
      <c r="L59" s="58">
        <f t="shared" si="69"/>
        <v>197</v>
      </c>
      <c r="M59" s="47">
        <v>54.831600000000002</v>
      </c>
      <c r="N59" s="16"/>
      <c r="O59" s="58">
        <f t="shared" si="70"/>
        <v>54.831600000000002</v>
      </c>
      <c r="P59" s="529">
        <f t="shared" si="65"/>
        <v>27.833299492385787</v>
      </c>
      <c r="Q59" s="47">
        <v>102.08439</v>
      </c>
      <c r="R59" s="16"/>
      <c r="S59" s="573">
        <f t="shared" si="71"/>
        <v>102.08439</v>
      </c>
      <c r="T59" s="562">
        <f t="shared" si="6"/>
        <v>51.819487309644671</v>
      </c>
      <c r="U59" s="575"/>
      <c r="V59" s="212" t="s">
        <v>311</v>
      </c>
      <c r="W59" s="310" t="s">
        <v>68</v>
      </c>
    </row>
    <row r="60" spans="1:161" s="366" customFormat="1" ht="13.5" customHeight="1" x14ac:dyDescent="0.2">
      <c r="A60" s="125"/>
      <c r="B60" s="362">
        <v>3412</v>
      </c>
      <c r="C60" s="518">
        <v>215</v>
      </c>
      <c r="D60" s="519" t="s">
        <v>463</v>
      </c>
      <c r="E60" s="47"/>
      <c r="F60" s="16">
        <v>400</v>
      </c>
      <c r="G60" s="58">
        <f t="shared" si="67"/>
        <v>400</v>
      </c>
      <c r="H60" s="422"/>
      <c r="I60" s="413"/>
      <c r="J60" s="47">
        <f t="shared" ref="J60" si="72">E60+H60</f>
        <v>0</v>
      </c>
      <c r="K60" s="16">
        <f t="shared" ref="K60" si="73">F60+I60</f>
        <v>400</v>
      </c>
      <c r="L60" s="58">
        <f t="shared" ref="L60" si="74">SUM(J60:K60)</f>
        <v>400</v>
      </c>
      <c r="M60" s="47">
        <v>0</v>
      </c>
      <c r="N60" s="16"/>
      <c r="O60" s="58">
        <f t="shared" ref="O60" si="75">M60+N60</f>
        <v>0</v>
      </c>
      <c r="P60" s="529">
        <f t="shared" ref="P60" si="76">O60/$L60*100</f>
        <v>0</v>
      </c>
      <c r="Q60" s="47"/>
      <c r="R60" s="16"/>
      <c r="S60" s="573">
        <f t="shared" ref="S60" si="77">Q60+R60</f>
        <v>0</v>
      </c>
      <c r="T60" s="562">
        <f t="shared" ref="T60" si="78">S60/$L60*100</f>
        <v>0</v>
      </c>
      <c r="U60" s="575"/>
      <c r="V60" s="212" t="s">
        <v>370</v>
      </c>
      <c r="W60" s="377" t="s">
        <v>137</v>
      </c>
    </row>
    <row r="61" spans="1:161" ht="13.5" customHeight="1" x14ac:dyDescent="0.2">
      <c r="A61" s="125"/>
      <c r="B61" s="362">
        <v>3419</v>
      </c>
      <c r="C61" s="362">
        <v>105</v>
      </c>
      <c r="D61" s="452" t="s">
        <v>343</v>
      </c>
      <c r="E61" s="47">
        <v>45</v>
      </c>
      <c r="F61" s="16"/>
      <c r="G61" s="58">
        <f t="shared" si="67"/>
        <v>45</v>
      </c>
      <c r="H61" s="412"/>
      <c r="I61" s="413"/>
      <c r="J61" s="47">
        <f>E61+H61</f>
        <v>45</v>
      </c>
      <c r="K61" s="16">
        <f t="shared" si="68"/>
        <v>0</v>
      </c>
      <c r="L61" s="58">
        <f t="shared" si="69"/>
        <v>45</v>
      </c>
      <c r="M61" s="47">
        <v>0</v>
      </c>
      <c r="N61" s="16"/>
      <c r="O61" s="58">
        <f t="shared" ref="O61:O63" si="79">M61+N61</f>
        <v>0</v>
      </c>
      <c r="P61" s="529">
        <f t="shared" si="65"/>
        <v>0</v>
      </c>
      <c r="Q61" s="47"/>
      <c r="R61" s="16"/>
      <c r="S61" s="573">
        <f t="shared" ref="S61:S63" si="80">Q61+R61</f>
        <v>0</v>
      </c>
      <c r="T61" s="562">
        <f t="shared" si="6"/>
        <v>0</v>
      </c>
      <c r="U61" s="575" t="s">
        <v>474</v>
      </c>
      <c r="V61" s="211" t="s">
        <v>337</v>
      </c>
      <c r="W61" s="200" t="s">
        <v>450</v>
      </c>
    </row>
    <row r="62" spans="1:161" ht="13.5" customHeight="1" x14ac:dyDescent="0.2">
      <c r="A62" s="125"/>
      <c r="B62" s="362">
        <v>3419</v>
      </c>
      <c r="C62" s="362">
        <v>104</v>
      </c>
      <c r="D62" s="452" t="s">
        <v>334</v>
      </c>
      <c r="E62" s="47">
        <f>50+30+20</f>
        <v>100</v>
      </c>
      <c r="F62" s="16"/>
      <c r="G62" s="58">
        <f t="shared" si="67"/>
        <v>100</v>
      </c>
      <c r="H62" s="412"/>
      <c r="I62" s="413"/>
      <c r="J62" s="47">
        <f>E62+H62</f>
        <v>100</v>
      </c>
      <c r="K62" s="16"/>
      <c r="L62" s="58">
        <f>SUM(J62:K62)</f>
        <v>100</v>
      </c>
      <c r="M62" s="47">
        <v>70</v>
      </c>
      <c r="N62" s="16"/>
      <c r="O62" s="58">
        <f t="shared" si="79"/>
        <v>70</v>
      </c>
      <c r="P62" s="529"/>
      <c r="Q62" s="47">
        <v>70</v>
      </c>
      <c r="R62" s="16"/>
      <c r="S62" s="573">
        <f t="shared" si="80"/>
        <v>70</v>
      </c>
      <c r="T62" s="562">
        <f t="shared" si="6"/>
        <v>70</v>
      </c>
      <c r="U62" s="575"/>
      <c r="V62" s="211" t="s">
        <v>337</v>
      </c>
      <c r="W62" s="200" t="s">
        <v>450</v>
      </c>
    </row>
    <row r="63" spans="1:161" ht="12.75" customHeight="1" x14ac:dyDescent="0.2">
      <c r="A63" s="125"/>
      <c r="B63" s="362">
        <v>3421</v>
      </c>
      <c r="C63" s="362">
        <v>105</v>
      </c>
      <c r="D63" s="452" t="s">
        <v>333</v>
      </c>
      <c r="E63" s="16">
        <f>290+400+190</f>
        <v>880</v>
      </c>
      <c r="F63" s="16"/>
      <c r="G63" s="58">
        <f t="shared" si="67"/>
        <v>880</v>
      </c>
      <c r="H63" s="422"/>
      <c r="I63" s="413"/>
      <c r="J63" s="47">
        <f>E63+H63</f>
        <v>880</v>
      </c>
      <c r="K63" s="16"/>
      <c r="L63" s="58">
        <f t="shared" si="69"/>
        <v>880</v>
      </c>
      <c r="M63" s="47">
        <v>0</v>
      </c>
      <c r="N63" s="16"/>
      <c r="O63" s="58">
        <f t="shared" si="79"/>
        <v>0</v>
      </c>
      <c r="P63" s="529">
        <f t="shared" si="65"/>
        <v>0</v>
      </c>
      <c r="Q63" s="47">
        <v>880</v>
      </c>
      <c r="R63" s="16"/>
      <c r="S63" s="573">
        <f t="shared" si="80"/>
        <v>880</v>
      </c>
      <c r="T63" s="564">
        <f>S63/$L63*100</f>
        <v>100</v>
      </c>
      <c r="U63" s="575" t="s">
        <v>441</v>
      </c>
      <c r="V63" s="211" t="s">
        <v>337</v>
      </c>
      <c r="W63" s="200" t="s">
        <v>450</v>
      </c>
    </row>
    <row r="64" spans="1:161" x14ac:dyDescent="0.2">
      <c r="A64" s="126">
        <v>35</v>
      </c>
      <c r="B64" s="24">
        <v>3500</v>
      </c>
      <c r="C64" s="24"/>
      <c r="D64" s="453" t="s">
        <v>135</v>
      </c>
      <c r="E64" s="450">
        <f t="shared" ref="E64:G64" si="81">SUM(E65:E65)</f>
        <v>0</v>
      </c>
      <c r="F64" s="60">
        <f t="shared" si="81"/>
        <v>13309</v>
      </c>
      <c r="G64" s="61">
        <f t="shared" si="81"/>
        <v>13309</v>
      </c>
      <c r="H64" s="414">
        <f t="shared" ref="H64:S64" si="82">SUM(H65:H65)</f>
        <v>0</v>
      </c>
      <c r="I64" s="415">
        <f t="shared" si="82"/>
        <v>0</v>
      </c>
      <c r="J64" s="59">
        <f t="shared" si="82"/>
        <v>0</v>
      </c>
      <c r="K64" s="60">
        <f t="shared" si="82"/>
        <v>13309</v>
      </c>
      <c r="L64" s="61">
        <f t="shared" si="82"/>
        <v>13309</v>
      </c>
      <c r="M64" s="59">
        <f t="shared" si="82"/>
        <v>0</v>
      </c>
      <c r="N64" s="60">
        <f t="shared" si="82"/>
        <v>0</v>
      </c>
      <c r="O64" s="61">
        <f t="shared" si="82"/>
        <v>0</v>
      </c>
      <c r="P64" s="530"/>
      <c r="Q64" s="59">
        <f t="shared" si="82"/>
        <v>0</v>
      </c>
      <c r="R64" s="60">
        <f t="shared" si="82"/>
        <v>0</v>
      </c>
      <c r="S64" s="61">
        <f t="shared" si="82"/>
        <v>0</v>
      </c>
      <c r="T64" s="562">
        <f t="shared" si="6"/>
        <v>0</v>
      </c>
      <c r="U64" s="387"/>
      <c r="V64" s="59"/>
      <c r="W64" s="346"/>
    </row>
    <row r="65" spans="1:26" s="328" customFormat="1" x14ac:dyDescent="0.2">
      <c r="A65" s="90"/>
      <c r="B65" s="32">
        <v>3522</v>
      </c>
      <c r="C65" s="32">
        <v>233</v>
      </c>
      <c r="D65" s="452" t="s">
        <v>309</v>
      </c>
      <c r="E65" s="17">
        <v>0</v>
      </c>
      <c r="F65" s="16">
        <v>13309</v>
      </c>
      <c r="G65" s="58">
        <f>E65+F65</f>
        <v>13309</v>
      </c>
      <c r="H65" s="462"/>
      <c r="I65" s="413"/>
      <c r="J65" s="47">
        <f>E65+H65</f>
        <v>0</v>
      </c>
      <c r="K65" s="16">
        <f>F65+I65</f>
        <v>13309</v>
      </c>
      <c r="L65" s="58">
        <f>SUM(J65:K65)</f>
        <v>13309</v>
      </c>
      <c r="M65" s="47">
        <v>0</v>
      </c>
      <c r="N65" s="16">
        <v>0</v>
      </c>
      <c r="O65" s="58">
        <f>M65+N65</f>
        <v>0</v>
      </c>
      <c r="P65" s="532"/>
      <c r="Q65" s="47"/>
      <c r="R65" s="16">
        <v>0</v>
      </c>
      <c r="S65" s="58">
        <f>Q65+R65</f>
        <v>0</v>
      </c>
      <c r="T65" s="562">
        <f t="shared" si="6"/>
        <v>0</v>
      </c>
      <c r="U65" s="386"/>
      <c r="V65" s="211" t="s">
        <v>218</v>
      </c>
      <c r="W65" s="200" t="s">
        <v>450</v>
      </c>
    </row>
    <row r="66" spans="1:26" x14ac:dyDescent="0.2">
      <c r="A66" s="126">
        <v>36</v>
      </c>
      <c r="B66" s="24">
        <v>3600</v>
      </c>
      <c r="C66" s="24"/>
      <c r="D66" s="453" t="s">
        <v>74</v>
      </c>
      <c r="E66" s="450">
        <f t="shared" ref="E66:N66" si="83">SUM(E67:E85)</f>
        <v>15278</v>
      </c>
      <c r="F66" s="60">
        <f t="shared" si="83"/>
        <v>9650</v>
      </c>
      <c r="G66" s="61">
        <f t="shared" si="83"/>
        <v>24928</v>
      </c>
      <c r="H66" s="414">
        <f t="shared" si="83"/>
        <v>0</v>
      </c>
      <c r="I66" s="415">
        <f t="shared" si="83"/>
        <v>845</v>
      </c>
      <c r="J66" s="59">
        <f t="shared" si="83"/>
        <v>15278</v>
      </c>
      <c r="K66" s="60">
        <f t="shared" si="83"/>
        <v>10495</v>
      </c>
      <c r="L66" s="61">
        <f t="shared" si="83"/>
        <v>25773</v>
      </c>
      <c r="M66" s="59">
        <f>SUM(M67:M85)</f>
        <v>1793.5523300000004</v>
      </c>
      <c r="N66" s="60">
        <f t="shared" si="83"/>
        <v>72.599999999999994</v>
      </c>
      <c r="O66" s="61">
        <f>SUM(O67:O85)</f>
        <v>1866.1523300000003</v>
      </c>
      <c r="P66" s="530">
        <f>O66/$L66*100</f>
        <v>7.2407260699181322</v>
      </c>
      <c r="Q66" s="59">
        <f>SUM(Q67:Q85)</f>
        <v>4830.3163100000002</v>
      </c>
      <c r="R66" s="60">
        <f>SUM(R67:R85)</f>
        <v>1920.1284499999997</v>
      </c>
      <c r="S66" s="61">
        <f>SUM(S67:S85)</f>
        <v>6750.4447600000003</v>
      </c>
      <c r="T66" s="563">
        <f>S66/$L66*100</f>
        <v>26.191924727427928</v>
      </c>
      <c r="U66" s="387"/>
      <c r="V66" s="59"/>
      <c r="W66" s="346"/>
    </row>
    <row r="67" spans="1:26" ht="12" customHeight="1" x14ac:dyDescent="0.2">
      <c r="A67" s="125"/>
      <c r="B67" s="362">
        <v>3612</v>
      </c>
      <c r="C67" s="362" t="s">
        <v>274</v>
      </c>
      <c r="D67" s="452" t="s">
        <v>145</v>
      </c>
      <c r="E67" s="47">
        <f>7175</f>
        <v>7175</v>
      </c>
      <c r="F67" s="16"/>
      <c r="G67" s="58">
        <f t="shared" ref="G67:G85" si="84">E67+F67</f>
        <v>7175</v>
      </c>
      <c r="H67" s="412"/>
      <c r="I67" s="423"/>
      <c r="J67" s="47">
        <f t="shared" ref="J67:J85" si="85">E67+H67</f>
        <v>7175</v>
      </c>
      <c r="K67" s="16"/>
      <c r="L67" s="58">
        <f t="shared" ref="L67:L85" si="86">SUM(J67:K67)</f>
        <v>7175</v>
      </c>
      <c r="M67" s="47">
        <v>423.61617000000001</v>
      </c>
      <c r="N67" s="16"/>
      <c r="O67" s="58">
        <f t="shared" ref="O67:O85" si="87">M67+N67</f>
        <v>423.61617000000001</v>
      </c>
      <c r="P67" s="529">
        <f>O67/$L67*100</f>
        <v>5.9040581184668994</v>
      </c>
      <c r="Q67" s="47">
        <v>1250.20138</v>
      </c>
      <c r="R67" s="16"/>
      <c r="S67" s="58">
        <f t="shared" ref="S67:S85" si="88">Q67+R67</f>
        <v>1250.20138</v>
      </c>
      <c r="T67" s="562">
        <f>S67/$L67*100</f>
        <v>17.424409477351915</v>
      </c>
      <c r="U67" s="386" t="s">
        <v>477</v>
      </c>
      <c r="V67" s="208" t="s">
        <v>326</v>
      </c>
      <c r="W67" s="206" t="s">
        <v>273</v>
      </c>
    </row>
    <row r="68" spans="1:26" x14ac:dyDescent="0.2">
      <c r="A68" s="125"/>
      <c r="B68" s="362">
        <v>3612</v>
      </c>
      <c r="C68" s="362" t="s">
        <v>274</v>
      </c>
      <c r="D68" s="452" t="s">
        <v>146</v>
      </c>
      <c r="E68" s="47">
        <v>1950</v>
      </c>
      <c r="F68" s="16"/>
      <c r="G68" s="58">
        <f t="shared" si="84"/>
        <v>1950</v>
      </c>
      <c r="H68" s="416"/>
      <c r="I68" s="413"/>
      <c r="J68" s="47">
        <f t="shared" si="85"/>
        <v>1950</v>
      </c>
      <c r="K68" s="16"/>
      <c r="L68" s="58">
        <f t="shared" si="86"/>
        <v>1950</v>
      </c>
      <c r="M68" s="47">
        <v>736.91870000000006</v>
      </c>
      <c r="N68" s="16"/>
      <c r="O68" s="58">
        <f t="shared" si="87"/>
        <v>736.91870000000006</v>
      </c>
      <c r="P68" s="529">
        <f t="shared" ref="P68:P71" si="89">O68/$L68*100</f>
        <v>37.790702564102567</v>
      </c>
      <c r="Q68" s="47">
        <f>1137.73492</f>
        <v>1137.7349200000001</v>
      </c>
      <c r="R68" s="16"/>
      <c r="S68" s="58">
        <f t="shared" si="88"/>
        <v>1137.7349200000001</v>
      </c>
      <c r="T68" s="562">
        <f t="shared" ref="T68:T70" si="90">S68/$L68*100</f>
        <v>58.345380512820519</v>
      </c>
      <c r="U68" s="386" t="s">
        <v>279</v>
      </c>
      <c r="V68" s="208" t="s">
        <v>326</v>
      </c>
      <c r="W68" s="206" t="s">
        <v>273</v>
      </c>
    </row>
    <row r="69" spans="1:26" x14ac:dyDescent="0.2">
      <c r="A69" s="125"/>
      <c r="B69" s="362">
        <v>3612</v>
      </c>
      <c r="C69" s="362">
        <v>326</v>
      </c>
      <c r="D69" s="452" t="s">
        <v>338</v>
      </c>
      <c r="E69" s="47"/>
      <c r="F69" s="16">
        <v>4000</v>
      </c>
      <c r="G69" s="58">
        <f t="shared" si="84"/>
        <v>4000</v>
      </c>
      <c r="H69" s="416"/>
      <c r="I69" s="413">
        <v>500</v>
      </c>
      <c r="J69" s="47">
        <f t="shared" ref="J69:J84" si="91">E69+H69</f>
        <v>0</v>
      </c>
      <c r="K69" s="16">
        <f>F69+I69</f>
        <v>4500</v>
      </c>
      <c r="L69" s="58">
        <f t="shared" ref="L69:L84" si="92">SUM(J69:K69)</f>
        <v>4500</v>
      </c>
      <c r="M69" s="47">
        <v>0</v>
      </c>
      <c r="N69" s="16"/>
      <c r="O69" s="58">
        <f t="shared" si="87"/>
        <v>0</v>
      </c>
      <c r="P69" s="529">
        <f t="shared" si="89"/>
        <v>0</v>
      </c>
      <c r="Q69" s="47"/>
      <c r="R69" s="16">
        <v>1787.1494499999999</v>
      </c>
      <c r="S69" s="58">
        <f t="shared" si="88"/>
        <v>1787.1494499999999</v>
      </c>
      <c r="T69" s="562">
        <f t="shared" si="90"/>
        <v>39.714432222222214</v>
      </c>
      <c r="U69" s="386" t="s">
        <v>402</v>
      </c>
      <c r="V69" s="212" t="s">
        <v>370</v>
      </c>
      <c r="W69" s="201" t="s">
        <v>137</v>
      </c>
    </row>
    <row r="70" spans="1:26" x14ac:dyDescent="0.2">
      <c r="A70" s="125"/>
      <c r="B70" s="362">
        <v>3612</v>
      </c>
      <c r="C70" s="362">
        <v>327</v>
      </c>
      <c r="D70" s="452" t="s">
        <v>368</v>
      </c>
      <c r="E70" s="47"/>
      <c r="F70" s="16">
        <v>350</v>
      </c>
      <c r="G70" s="58">
        <f t="shared" si="84"/>
        <v>350</v>
      </c>
      <c r="H70" s="416"/>
      <c r="I70" s="413"/>
      <c r="J70" s="47">
        <f t="shared" si="91"/>
        <v>0</v>
      </c>
      <c r="K70" s="16">
        <f>F70+I70</f>
        <v>350</v>
      </c>
      <c r="L70" s="58">
        <f t="shared" si="92"/>
        <v>350</v>
      </c>
      <c r="M70" s="47">
        <v>0</v>
      </c>
      <c r="N70" s="16">
        <v>72.599999999999994</v>
      </c>
      <c r="O70" s="58">
        <f t="shared" si="87"/>
        <v>72.599999999999994</v>
      </c>
      <c r="P70" s="529">
        <f t="shared" si="89"/>
        <v>20.74285714285714</v>
      </c>
      <c r="Q70" s="47"/>
      <c r="R70" s="16">
        <v>72.599999999999994</v>
      </c>
      <c r="S70" s="58">
        <f t="shared" si="88"/>
        <v>72.599999999999994</v>
      </c>
      <c r="T70" s="562">
        <f t="shared" si="90"/>
        <v>20.74285714285714</v>
      </c>
      <c r="U70" s="386"/>
      <c r="V70" s="212" t="s">
        <v>370</v>
      </c>
      <c r="W70" s="201" t="s">
        <v>137</v>
      </c>
    </row>
    <row r="71" spans="1:26" x14ac:dyDescent="0.2">
      <c r="A71" s="125"/>
      <c r="B71" s="362">
        <v>3613</v>
      </c>
      <c r="C71" s="362">
        <v>305</v>
      </c>
      <c r="D71" s="452" t="s">
        <v>389</v>
      </c>
      <c r="E71" s="348">
        <f>171+146+54+250</f>
        <v>621</v>
      </c>
      <c r="F71" s="16"/>
      <c r="G71" s="58">
        <f t="shared" si="84"/>
        <v>621</v>
      </c>
      <c r="H71" s="416"/>
      <c r="I71" s="413"/>
      <c r="J71" s="47">
        <f t="shared" si="91"/>
        <v>621</v>
      </c>
      <c r="K71" s="16"/>
      <c r="L71" s="58">
        <f t="shared" si="92"/>
        <v>621</v>
      </c>
      <c r="M71" s="47">
        <f>46.132+96.8</f>
        <v>142.93199999999999</v>
      </c>
      <c r="N71" s="16"/>
      <c r="O71" s="58">
        <f t="shared" si="87"/>
        <v>142.93199999999999</v>
      </c>
      <c r="P71" s="529">
        <f t="shared" si="89"/>
        <v>23.016425120772947</v>
      </c>
      <c r="Q71" s="47">
        <f>90.01+182.36031</f>
        <v>272.37031000000002</v>
      </c>
      <c r="R71" s="16"/>
      <c r="S71" s="58">
        <f t="shared" si="88"/>
        <v>272.37031000000002</v>
      </c>
      <c r="T71" s="562">
        <f t="shared" ref="T71:T77" si="93">S71/$L71*100</f>
        <v>43.85995330112722</v>
      </c>
      <c r="U71" s="386" t="s">
        <v>493</v>
      </c>
      <c r="V71" s="212" t="s">
        <v>311</v>
      </c>
      <c r="W71" s="201" t="s">
        <v>137</v>
      </c>
    </row>
    <row r="72" spans="1:26" x14ac:dyDescent="0.2">
      <c r="A72" s="125"/>
      <c r="B72" s="362">
        <v>3613</v>
      </c>
      <c r="C72" s="362">
        <v>316</v>
      </c>
      <c r="D72" s="452" t="s">
        <v>464</v>
      </c>
      <c r="E72" s="47">
        <f>291+200</f>
        <v>491</v>
      </c>
      <c r="F72" s="16"/>
      <c r="G72" s="58">
        <f t="shared" si="84"/>
        <v>491</v>
      </c>
      <c r="H72" s="416"/>
      <c r="I72" s="413"/>
      <c r="J72" s="47">
        <f t="shared" si="91"/>
        <v>491</v>
      </c>
      <c r="K72" s="16">
        <f>F72+I72</f>
        <v>0</v>
      </c>
      <c r="L72" s="58">
        <f t="shared" si="92"/>
        <v>491</v>
      </c>
      <c r="M72" s="47">
        <v>61.694220000000001</v>
      </c>
      <c r="N72" s="16"/>
      <c r="O72" s="58">
        <f t="shared" si="87"/>
        <v>61.694220000000001</v>
      </c>
      <c r="P72" s="529">
        <f t="shared" ref="P72:P77" si="94">O72/$L72*100</f>
        <v>12.565014256619145</v>
      </c>
      <c r="Q72" s="47">
        <v>124.53422999999999</v>
      </c>
      <c r="R72" s="16"/>
      <c r="S72" s="58">
        <f t="shared" si="88"/>
        <v>124.53422999999999</v>
      </c>
      <c r="T72" s="562">
        <f t="shared" si="93"/>
        <v>25.363386965376783</v>
      </c>
      <c r="U72" s="386"/>
      <c r="V72" s="212" t="s">
        <v>425</v>
      </c>
      <c r="W72" s="201" t="s">
        <v>68</v>
      </c>
    </row>
    <row r="73" spans="1:26" x14ac:dyDescent="0.2">
      <c r="A73" s="125"/>
      <c r="B73" s="362">
        <v>3613</v>
      </c>
      <c r="C73" s="362">
        <v>317</v>
      </c>
      <c r="D73" s="452" t="s">
        <v>220</v>
      </c>
      <c r="E73" s="47">
        <f>102</f>
        <v>102</v>
      </c>
      <c r="F73" s="16"/>
      <c r="G73" s="58">
        <f t="shared" si="84"/>
        <v>102</v>
      </c>
      <c r="H73" s="416"/>
      <c r="I73" s="423"/>
      <c r="J73" s="47">
        <f t="shared" si="91"/>
        <v>102</v>
      </c>
      <c r="K73" s="16"/>
      <c r="L73" s="58">
        <f t="shared" si="92"/>
        <v>102</v>
      </c>
      <c r="M73" s="47">
        <v>2.2000000000000002</v>
      </c>
      <c r="N73" s="16"/>
      <c r="O73" s="58">
        <f t="shared" si="87"/>
        <v>2.2000000000000002</v>
      </c>
      <c r="P73" s="529">
        <f t="shared" si="94"/>
        <v>2.1568627450980395</v>
      </c>
      <c r="Q73" s="47">
        <v>10.144</v>
      </c>
      <c r="R73" s="16"/>
      <c r="S73" s="58">
        <f t="shared" si="88"/>
        <v>10.144</v>
      </c>
      <c r="T73" s="562">
        <f t="shared" si="93"/>
        <v>9.9450980392156865</v>
      </c>
      <c r="U73" s="386"/>
      <c r="V73" s="212" t="s">
        <v>425</v>
      </c>
      <c r="W73" s="201" t="s">
        <v>68</v>
      </c>
    </row>
    <row r="74" spans="1:26" ht="13.5" customHeight="1" x14ac:dyDescent="0.2">
      <c r="A74" s="125"/>
      <c r="B74" s="362">
        <v>3613</v>
      </c>
      <c r="C74" s="362">
        <v>703</v>
      </c>
      <c r="D74" s="452" t="s">
        <v>147</v>
      </c>
      <c r="E74" s="47">
        <v>380</v>
      </c>
      <c r="F74" s="16"/>
      <c r="G74" s="58">
        <f t="shared" si="84"/>
        <v>380</v>
      </c>
      <c r="H74" s="416"/>
      <c r="I74" s="413"/>
      <c r="J74" s="47">
        <f t="shared" si="91"/>
        <v>380</v>
      </c>
      <c r="K74" s="16"/>
      <c r="L74" s="58">
        <f t="shared" si="92"/>
        <v>380</v>
      </c>
      <c r="M74" s="47">
        <v>31.198360000000001</v>
      </c>
      <c r="N74" s="16"/>
      <c r="O74" s="58">
        <f t="shared" si="87"/>
        <v>31.198360000000001</v>
      </c>
      <c r="P74" s="529">
        <f t="shared" si="94"/>
        <v>8.2100947368421053</v>
      </c>
      <c r="Q74" s="47">
        <v>59.941200000000002</v>
      </c>
      <c r="R74" s="16"/>
      <c r="S74" s="58">
        <f t="shared" si="88"/>
        <v>59.941200000000002</v>
      </c>
      <c r="T74" s="562">
        <f t="shared" si="93"/>
        <v>15.774000000000003</v>
      </c>
      <c r="U74" s="386" t="s">
        <v>478</v>
      </c>
      <c r="V74" s="208" t="s">
        <v>326</v>
      </c>
      <c r="W74" s="206" t="s">
        <v>273</v>
      </c>
    </row>
    <row r="75" spans="1:26" x14ac:dyDescent="0.2">
      <c r="A75" s="125"/>
      <c r="B75" s="362">
        <v>3613</v>
      </c>
      <c r="C75" s="362">
        <v>703</v>
      </c>
      <c r="D75" s="452" t="s">
        <v>148</v>
      </c>
      <c r="E75" s="47">
        <v>200</v>
      </c>
      <c r="F75" s="16"/>
      <c r="G75" s="58">
        <f t="shared" si="84"/>
        <v>200</v>
      </c>
      <c r="H75" s="416"/>
      <c r="I75" s="413"/>
      <c r="J75" s="47">
        <f t="shared" si="91"/>
        <v>200</v>
      </c>
      <c r="K75" s="16"/>
      <c r="L75" s="58">
        <f t="shared" si="92"/>
        <v>200</v>
      </c>
      <c r="M75" s="47">
        <v>33.530090000000001</v>
      </c>
      <c r="N75" s="16"/>
      <c r="O75" s="58">
        <f t="shared" si="87"/>
        <v>33.530090000000001</v>
      </c>
      <c r="P75" s="529">
        <f t="shared" si="94"/>
        <v>16.765045000000001</v>
      </c>
      <c r="Q75" s="47">
        <f>74.77884+1.11222</f>
        <v>75.891059999999996</v>
      </c>
      <c r="R75" s="16"/>
      <c r="S75" s="58">
        <f t="shared" si="88"/>
        <v>75.891059999999996</v>
      </c>
      <c r="T75" s="562">
        <f t="shared" si="93"/>
        <v>37.945529999999998</v>
      </c>
      <c r="U75" s="386" t="s">
        <v>279</v>
      </c>
      <c r="V75" s="208" t="s">
        <v>326</v>
      </c>
      <c r="W75" s="206" t="s">
        <v>273</v>
      </c>
    </row>
    <row r="76" spans="1:26" x14ac:dyDescent="0.2">
      <c r="A76" s="125"/>
      <c r="B76" s="362">
        <v>3631</v>
      </c>
      <c r="C76" s="362">
        <v>107</v>
      </c>
      <c r="D76" s="452" t="s">
        <v>75</v>
      </c>
      <c r="E76" s="16">
        <f>1760+340</f>
        <v>2100</v>
      </c>
      <c r="F76" s="16"/>
      <c r="G76" s="58">
        <f t="shared" si="84"/>
        <v>2100</v>
      </c>
      <c r="H76" s="416"/>
      <c r="I76" s="413">
        <v>345</v>
      </c>
      <c r="J76" s="47">
        <f t="shared" si="91"/>
        <v>2100</v>
      </c>
      <c r="K76" s="16">
        <f>F76+I76</f>
        <v>345</v>
      </c>
      <c r="L76" s="58">
        <f t="shared" si="92"/>
        <v>2445</v>
      </c>
      <c r="M76" s="47">
        <v>0</v>
      </c>
      <c r="N76" s="16"/>
      <c r="O76" s="58">
        <f t="shared" si="87"/>
        <v>0</v>
      </c>
      <c r="P76" s="529">
        <f t="shared" si="94"/>
        <v>0</v>
      </c>
      <c r="Q76" s="47">
        <v>1134.6679999999999</v>
      </c>
      <c r="R76" s="16"/>
      <c r="S76" s="58">
        <f t="shared" si="88"/>
        <v>1134.6679999999999</v>
      </c>
      <c r="T76" s="562">
        <f t="shared" si="93"/>
        <v>46.407689161554188</v>
      </c>
      <c r="U76" s="386" t="s">
        <v>475</v>
      </c>
      <c r="V76" s="212" t="s">
        <v>216</v>
      </c>
      <c r="W76" s="201" t="s">
        <v>137</v>
      </c>
      <c r="Z76" s="350"/>
    </row>
    <row r="77" spans="1:26" x14ac:dyDescent="0.2">
      <c r="A77" s="125"/>
      <c r="B77" s="362">
        <v>3632</v>
      </c>
      <c r="C77" s="362">
        <v>232</v>
      </c>
      <c r="D77" s="452" t="s">
        <v>367</v>
      </c>
      <c r="E77" s="47">
        <v>80</v>
      </c>
      <c r="F77" s="16">
        <v>5300</v>
      </c>
      <c r="G77" s="58">
        <f t="shared" si="84"/>
        <v>5380</v>
      </c>
      <c r="H77" s="416"/>
      <c r="I77" s="413"/>
      <c r="J77" s="47">
        <f t="shared" si="91"/>
        <v>80</v>
      </c>
      <c r="K77" s="16">
        <f>F77+I77</f>
        <v>5300</v>
      </c>
      <c r="L77" s="58">
        <f t="shared" si="92"/>
        <v>5380</v>
      </c>
      <c r="M77" s="47">
        <v>0</v>
      </c>
      <c r="N77" s="16"/>
      <c r="O77" s="58">
        <f t="shared" si="87"/>
        <v>0</v>
      </c>
      <c r="P77" s="529">
        <f t="shared" si="94"/>
        <v>0</v>
      </c>
      <c r="Q77" s="47">
        <v>43.442999999999998</v>
      </c>
      <c r="R77" s="16">
        <v>60.378999999999998</v>
      </c>
      <c r="S77" s="58">
        <f t="shared" si="88"/>
        <v>103.822</v>
      </c>
      <c r="T77" s="562">
        <f t="shared" si="93"/>
        <v>1.9297769516728625</v>
      </c>
      <c r="U77" s="386"/>
      <c r="V77" s="212" t="s">
        <v>370</v>
      </c>
      <c r="W77" s="201" t="s">
        <v>137</v>
      </c>
    </row>
    <row r="78" spans="1:26" x14ac:dyDescent="0.2">
      <c r="A78" s="125"/>
      <c r="B78" s="362">
        <v>3632</v>
      </c>
      <c r="C78" s="362">
        <v>238</v>
      </c>
      <c r="D78" s="452" t="s">
        <v>38</v>
      </c>
      <c r="E78" s="47">
        <v>359</v>
      </c>
      <c r="F78" s="16"/>
      <c r="G78" s="58">
        <f t="shared" si="84"/>
        <v>359</v>
      </c>
      <c r="H78" s="416"/>
      <c r="I78" s="413"/>
      <c r="J78" s="47">
        <f t="shared" si="91"/>
        <v>359</v>
      </c>
      <c r="K78" s="16">
        <f>F78+I78</f>
        <v>0</v>
      </c>
      <c r="L78" s="58">
        <f t="shared" si="92"/>
        <v>359</v>
      </c>
      <c r="M78" s="47">
        <v>79.296000000000006</v>
      </c>
      <c r="N78" s="16"/>
      <c r="O78" s="58">
        <f t="shared" si="87"/>
        <v>79.296000000000006</v>
      </c>
      <c r="P78" s="529">
        <f t="shared" ref="P78:P84" si="95">O78/$L78*100</f>
        <v>22.088022284122562</v>
      </c>
      <c r="Q78" s="47">
        <v>170.50700000000001</v>
      </c>
      <c r="R78" s="16"/>
      <c r="S78" s="58">
        <f t="shared" si="88"/>
        <v>170.50700000000001</v>
      </c>
      <c r="T78" s="562">
        <f t="shared" ref="T78:T84" si="96">S78/$L78*100</f>
        <v>47.494986072423401</v>
      </c>
      <c r="U78" s="386"/>
      <c r="V78" s="212" t="s">
        <v>425</v>
      </c>
      <c r="W78" s="201" t="s">
        <v>68</v>
      </c>
    </row>
    <row r="79" spans="1:26" x14ac:dyDescent="0.2">
      <c r="A79" s="125"/>
      <c r="B79" s="362">
        <v>3635</v>
      </c>
      <c r="C79" s="362">
        <v>248</v>
      </c>
      <c r="D79" s="452" t="s">
        <v>223</v>
      </c>
      <c r="E79" s="47">
        <v>90</v>
      </c>
      <c r="F79" s="16"/>
      <c r="G79" s="58">
        <f t="shared" si="84"/>
        <v>90</v>
      </c>
      <c r="H79" s="416"/>
      <c r="I79" s="413"/>
      <c r="J79" s="47">
        <f t="shared" si="91"/>
        <v>90</v>
      </c>
      <c r="K79" s="16"/>
      <c r="L79" s="58">
        <f t="shared" si="92"/>
        <v>90</v>
      </c>
      <c r="M79" s="47">
        <v>0</v>
      </c>
      <c r="N79" s="16"/>
      <c r="O79" s="58">
        <f t="shared" si="87"/>
        <v>0</v>
      </c>
      <c r="P79" s="529">
        <f t="shared" si="95"/>
        <v>0</v>
      </c>
      <c r="Q79" s="47"/>
      <c r="R79" s="16"/>
      <c r="S79" s="58">
        <f t="shared" si="88"/>
        <v>0</v>
      </c>
      <c r="T79" s="562">
        <f t="shared" si="96"/>
        <v>0</v>
      </c>
      <c r="U79" s="386" t="s">
        <v>403</v>
      </c>
      <c r="V79" s="215" t="s">
        <v>222</v>
      </c>
      <c r="W79" s="207" t="s">
        <v>221</v>
      </c>
    </row>
    <row r="80" spans="1:26" x14ac:dyDescent="0.2">
      <c r="A80" s="125"/>
      <c r="B80" s="362">
        <v>3636</v>
      </c>
      <c r="C80" s="362">
        <v>249</v>
      </c>
      <c r="D80" s="452" t="s">
        <v>249</v>
      </c>
      <c r="E80" s="47">
        <v>100</v>
      </c>
      <c r="F80" s="16"/>
      <c r="G80" s="58">
        <f t="shared" si="84"/>
        <v>100</v>
      </c>
      <c r="H80" s="412"/>
      <c r="I80" s="413"/>
      <c r="J80" s="47">
        <f t="shared" si="91"/>
        <v>100</v>
      </c>
      <c r="K80" s="16"/>
      <c r="L80" s="58">
        <f t="shared" si="92"/>
        <v>100</v>
      </c>
      <c r="M80" s="47">
        <v>0</v>
      </c>
      <c r="N80" s="16"/>
      <c r="O80" s="58">
        <f t="shared" si="87"/>
        <v>0</v>
      </c>
      <c r="P80" s="529">
        <f t="shared" si="95"/>
        <v>0</v>
      </c>
      <c r="Q80" s="47">
        <v>40.65701</v>
      </c>
      <c r="R80" s="16"/>
      <c r="S80" s="58">
        <f t="shared" si="88"/>
        <v>40.65701</v>
      </c>
      <c r="T80" s="562">
        <f t="shared" si="96"/>
        <v>40.65701</v>
      </c>
      <c r="U80" s="386"/>
      <c r="V80" s="325" t="s">
        <v>451</v>
      </c>
      <c r="W80" s="201" t="s">
        <v>137</v>
      </c>
    </row>
    <row r="81" spans="1:23" x14ac:dyDescent="0.2">
      <c r="A81" s="125"/>
      <c r="B81" s="362">
        <v>3639</v>
      </c>
      <c r="C81" s="362">
        <v>108</v>
      </c>
      <c r="D81" s="452" t="s">
        <v>115</v>
      </c>
      <c r="E81" s="47">
        <v>341</v>
      </c>
      <c r="F81" s="16"/>
      <c r="G81" s="58">
        <f t="shared" si="84"/>
        <v>341</v>
      </c>
      <c r="H81" s="422"/>
      <c r="I81" s="413"/>
      <c r="J81" s="47">
        <f t="shared" si="91"/>
        <v>341</v>
      </c>
      <c r="K81" s="16">
        <f>F81+I81</f>
        <v>0</v>
      </c>
      <c r="L81" s="58">
        <f t="shared" si="92"/>
        <v>341</v>
      </c>
      <c r="M81" s="47">
        <v>30.911989999999999</v>
      </c>
      <c r="N81" s="16"/>
      <c r="O81" s="58">
        <f t="shared" si="87"/>
        <v>30.911989999999999</v>
      </c>
      <c r="P81" s="529">
        <f t="shared" si="95"/>
        <v>9.0650997067448689</v>
      </c>
      <c r="Q81" s="47">
        <v>33.307989999999997</v>
      </c>
      <c r="R81" s="16"/>
      <c r="S81" s="58">
        <f t="shared" si="88"/>
        <v>33.307989999999997</v>
      </c>
      <c r="T81" s="562">
        <f t="shared" si="96"/>
        <v>9.7677390029325508</v>
      </c>
      <c r="U81" s="386"/>
      <c r="V81" s="212" t="s">
        <v>182</v>
      </c>
      <c r="W81" s="201" t="s">
        <v>68</v>
      </c>
    </row>
    <row r="82" spans="1:23" x14ac:dyDescent="0.2">
      <c r="A82" s="125"/>
      <c r="B82" s="362">
        <v>3639</v>
      </c>
      <c r="C82" s="362">
        <v>239</v>
      </c>
      <c r="D82" s="452" t="s">
        <v>207</v>
      </c>
      <c r="E82" s="47">
        <v>441</v>
      </c>
      <c r="F82" s="16"/>
      <c r="G82" s="58">
        <f t="shared" si="84"/>
        <v>441</v>
      </c>
      <c r="H82" s="416"/>
      <c r="I82" s="413"/>
      <c r="J82" s="47">
        <f t="shared" si="91"/>
        <v>441</v>
      </c>
      <c r="K82" s="16"/>
      <c r="L82" s="58">
        <f t="shared" si="92"/>
        <v>441</v>
      </c>
      <c r="M82" s="47">
        <v>87.007249999999999</v>
      </c>
      <c r="N82" s="16"/>
      <c r="O82" s="58">
        <f t="shared" si="87"/>
        <v>87.007249999999999</v>
      </c>
      <c r="P82" s="529">
        <f t="shared" si="95"/>
        <v>19.729535147392291</v>
      </c>
      <c r="Q82" s="47">
        <v>140.29422</v>
      </c>
      <c r="R82" s="16"/>
      <c r="S82" s="58">
        <f t="shared" si="88"/>
        <v>140.29422</v>
      </c>
      <c r="T82" s="562">
        <f t="shared" si="96"/>
        <v>31.812748299319725</v>
      </c>
      <c r="U82" s="386"/>
      <c r="V82" s="212" t="s">
        <v>216</v>
      </c>
      <c r="W82" s="201" t="s">
        <v>137</v>
      </c>
    </row>
    <row r="83" spans="1:23" x14ac:dyDescent="0.2">
      <c r="A83" s="125"/>
      <c r="B83" s="362">
        <v>3639</v>
      </c>
      <c r="C83" s="362">
        <v>243</v>
      </c>
      <c r="D83" s="452" t="s">
        <v>177</v>
      </c>
      <c r="E83" s="47">
        <f>73+442</f>
        <v>515</v>
      </c>
      <c r="F83" s="16"/>
      <c r="G83" s="58">
        <f t="shared" si="84"/>
        <v>515</v>
      </c>
      <c r="H83" s="416"/>
      <c r="I83" s="413"/>
      <c r="J83" s="47">
        <f t="shared" si="91"/>
        <v>515</v>
      </c>
      <c r="K83" s="16"/>
      <c r="L83" s="58">
        <f t="shared" si="92"/>
        <v>515</v>
      </c>
      <c r="M83" s="47">
        <v>86.697550000000007</v>
      </c>
      <c r="N83" s="16"/>
      <c r="O83" s="58">
        <f t="shared" si="87"/>
        <v>86.697550000000007</v>
      </c>
      <c r="P83" s="529">
        <f t="shared" si="95"/>
        <v>16.83447572815534</v>
      </c>
      <c r="Q83" s="47">
        <v>180.70098999999999</v>
      </c>
      <c r="R83" s="16"/>
      <c r="S83" s="58">
        <f t="shared" si="88"/>
        <v>180.70098999999999</v>
      </c>
      <c r="T83" s="562">
        <f t="shared" si="96"/>
        <v>35.087570873786404</v>
      </c>
      <c r="U83" s="386"/>
      <c r="V83" s="214" t="s">
        <v>68</v>
      </c>
      <c r="W83" s="201" t="s">
        <v>304</v>
      </c>
    </row>
    <row r="84" spans="1:23" x14ac:dyDescent="0.2">
      <c r="A84" s="125"/>
      <c r="B84" s="362">
        <v>3639</v>
      </c>
      <c r="C84" s="362">
        <v>319</v>
      </c>
      <c r="D84" s="452" t="s">
        <v>259</v>
      </c>
      <c r="E84" s="47">
        <v>227</v>
      </c>
      <c r="F84" s="16"/>
      <c r="G84" s="58">
        <f t="shared" si="84"/>
        <v>227</v>
      </c>
      <c r="H84" s="422"/>
      <c r="I84" s="413"/>
      <c r="J84" s="47">
        <f t="shared" si="91"/>
        <v>227</v>
      </c>
      <c r="K84" s="16"/>
      <c r="L84" s="58">
        <f t="shared" si="92"/>
        <v>227</v>
      </c>
      <c r="M84" s="47">
        <v>56.7</v>
      </c>
      <c r="N84" s="16"/>
      <c r="O84" s="58">
        <f t="shared" si="87"/>
        <v>56.7</v>
      </c>
      <c r="P84" s="529">
        <f t="shared" si="95"/>
        <v>24.977973568281939</v>
      </c>
      <c r="Q84" s="47">
        <v>113.4</v>
      </c>
      <c r="R84" s="16"/>
      <c r="S84" s="58">
        <f t="shared" si="88"/>
        <v>113.4</v>
      </c>
      <c r="T84" s="562">
        <f t="shared" si="96"/>
        <v>49.955947136563879</v>
      </c>
      <c r="U84" s="386" t="s">
        <v>476</v>
      </c>
      <c r="V84" s="212" t="s">
        <v>425</v>
      </c>
      <c r="W84" s="201" t="s">
        <v>68</v>
      </c>
    </row>
    <row r="85" spans="1:23" x14ac:dyDescent="0.2">
      <c r="A85" s="127"/>
      <c r="B85" s="36">
        <v>3639</v>
      </c>
      <c r="C85" s="36">
        <v>319.20999999999998</v>
      </c>
      <c r="D85" s="454" t="s">
        <v>257</v>
      </c>
      <c r="E85" s="364">
        <f>10+96</f>
        <v>106</v>
      </c>
      <c r="F85" s="16"/>
      <c r="G85" s="58">
        <f t="shared" si="84"/>
        <v>106</v>
      </c>
      <c r="H85" s="425"/>
      <c r="I85" s="418"/>
      <c r="J85" s="62">
        <f t="shared" si="85"/>
        <v>106</v>
      </c>
      <c r="K85" s="65"/>
      <c r="L85" s="64">
        <f t="shared" si="86"/>
        <v>106</v>
      </c>
      <c r="M85" s="364">
        <v>20.85</v>
      </c>
      <c r="N85" s="16"/>
      <c r="O85" s="58">
        <f t="shared" si="87"/>
        <v>20.85</v>
      </c>
      <c r="P85" s="531">
        <f t="shared" ref="P85" si="97">O85/$L85*100</f>
        <v>19.669811320754718</v>
      </c>
      <c r="Q85" s="364">
        <v>42.521000000000001</v>
      </c>
      <c r="R85" s="16"/>
      <c r="S85" s="58">
        <f t="shared" si="88"/>
        <v>42.521000000000001</v>
      </c>
      <c r="T85" s="564">
        <f t="shared" ref="T85:T91" si="98">S85/$L85*100</f>
        <v>40.114150943396226</v>
      </c>
      <c r="U85" s="388" t="s">
        <v>353</v>
      </c>
      <c r="V85" s="212" t="s">
        <v>425</v>
      </c>
      <c r="W85" s="203" t="s">
        <v>68</v>
      </c>
    </row>
    <row r="86" spans="1:23" x14ac:dyDescent="0.2">
      <c r="A86" s="126">
        <v>37</v>
      </c>
      <c r="B86" s="24"/>
      <c r="C86" s="24"/>
      <c r="D86" s="453" t="s">
        <v>136</v>
      </c>
      <c r="E86" s="450">
        <f t="shared" ref="E86:O86" si="99">SUM(E87:E95)</f>
        <v>13890</v>
      </c>
      <c r="F86" s="60">
        <f t="shared" si="99"/>
        <v>1830</v>
      </c>
      <c r="G86" s="61">
        <f t="shared" si="99"/>
        <v>15720</v>
      </c>
      <c r="H86" s="414">
        <f t="shared" si="99"/>
        <v>0</v>
      </c>
      <c r="I86" s="415">
        <f t="shared" si="99"/>
        <v>0</v>
      </c>
      <c r="J86" s="59">
        <f t="shared" si="99"/>
        <v>13890</v>
      </c>
      <c r="K86" s="60">
        <f t="shared" si="99"/>
        <v>1830</v>
      </c>
      <c r="L86" s="61">
        <f t="shared" si="99"/>
        <v>15720</v>
      </c>
      <c r="M86" s="59">
        <f t="shared" si="99"/>
        <v>2768.5522900000005</v>
      </c>
      <c r="N86" s="60">
        <f t="shared" si="99"/>
        <v>914.92749000000003</v>
      </c>
      <c r="O86" s="61">
        <f t="shared" si="99"/>
        <v>3683.4797800000006</v>
      </c>
      <c r="P86" s="530">
        <f t="shared" ref="P86:P122" si="100">O86/$L86*100</f>
        <v>23.431805216284989</v>
      </c>
      <c r="Q86" s="59">
        <f>SUM(Q87:Q95)</f>
        <v>5282.7846600000012</v>
      </c>
      <c r="R86" s="60">
        <f>SUM(R87:R95)</f>
        <v>914.92749000000003</v>
      </c>
      <c r="S86" s="61">
        <f>SUM(S87:S95)</f>
        <v>6197.7121500000012</v>
      </c>
      <c r="T86" s="563">
        <f t="shared" si="98"/>
        <v>39.425649809160312</v>
      </c>
      <c r="U86" s="387"/>
      <c r="V86" s="56"/>
      <c r="W86" s="85"/>
    </row>
    <row r="87" spans="1:23" x14ac:dyDescent="0.2">
      <c r="A87" s="125"/>
      <c r="B87" s="362">
        <v>3722</v>
      </c>
      <c r="C87" s="362">
        <v>240</v>
      </c>
      <c r="D87" s="452" t="s">
        <v>76</v>
      </c>
      <c r="E87" s="16">
        <f>7459</f>
        <v>7459</v>
      </c>
      <c r="F87" s="16"/>
      <c r="G87" s="58">
        <f>E87+F87</f>
        <v>7459</v>
      </c>
      <c r="H87" s="412"/>
      <c r="I87" s="413"/>
      <c r="J87" s="47">
        <f t="shared" ref="J87:J95" si="101">E87+H87</f>
        <v>7459</v>
      </c>
      <c r="K87" s="16"/>
      <c r="L87" s="58">
        <f t="shared" ref="L87:L95" si="102">SUM(J87:K87)</f>
        <v>7459</v>
      </c>
      <c r="M87" s="47">
        <v>2256.7283000000002</v>
      </c>
      <c r="N87" s="16"/>
      <c r="O87" s="58">
        <f>M87+N87</f>
        <v>2256.7283000000002</v>
      </c>
      <c r="P87" s="529">
        <f t="shared" si="100"/>
        <v>30.255105241989543</v>
      </c>
      <c r="Q87" s="47">
        <v>3993.5782100000001</v>
      </c>
      <c r="R87" s="16"/>
      <c r="S87" s="58">
        <f>Q87+R87</f>
        <v>3993.5782100000001</v>
      </c>
      <c r="T87" s="562">
        <f t="shared" si="98"/>
        <v>53.540396970103231</v>
      </c>
      <c r="U87" s="386" t="s">
        <v>479</v>
      </c>
      <c r="V87" s="212" t="s">
        <v>311</v>
      </c>
      <c r="W87" s="201" t="s">
        <v>216</v>
      </c>
    </row>
    <row r="88" spans="1:23" x14ac:dyDescent="0.2">
      <c r="A88" s="125"/>
      <c r="B88" s="362">
        <v>3722</v>
      </c>
      <c r="C88" s="362">
        <v>5110</v>
      </c>
      <c r="D88" s="452" t="s">
        <v>266</v>
      </c>
      <c r="E88" s="47">
        <v>361</v>
      </c>
      <c r="F88" s="16"/>
      <c r="G88" s="58">
        <f t="shared" ref="G88:G93" si="103">E88+F88</f>
        <v>361</v>
      </c>
      <c r="H88" s="412"/>
      <c r="I88" s="413"/>
      <c r="J88" s="47">
        <f t="shared" si="101"/>
        <v>361</v>
      </c>
      <c r="K88" s="16">
        <f>F88+I88</f>
        <v>0</v>
      </c>
      <c r="L88" s="58">
        <f t="shared" si="102"/>
        <v>361</v>
      </c>
      <c r="M88" s="47">
        <v>0</v>
      </c>
      <c r="N88" s="16"/>
      <c r="O88" s="58">
        <f t="shared" ref="O88:O92" si="104">M88+N88</f>
        <v>0</v>
      </c>
      <c r="P88" s="529">
        <f t="shared" si="100"/>
        <v>0</v>
      </c>
      <c r="Q88" s="47">
        <v>89.503</v>
      </c>
      <c r="R88" s="16"/>
      <c r="S88" s="58">
        <f t="shared" ref="S88:S92" si="105">Q88+R88</f>
        <v>89.503</v>
      </c>
      <c r="T88" s="562">
        <f t="shared" si="98"/>
        <v>24.793074792243765</v>
      </c>
      <c r="U88" s="386"/>
      <c r="V88" s="212" t="s">
        <v>311</v>
      </c>
      <c r="W88" s="201" t="s">
        <v>216</v>
      </c>
    </row>
    <row r="89" spans="1:23" s="328" customFormat="1" x14ac:dyDescent="0.2">
      <c r="A89" s="125"/>
      <c r="B89" s="362">
        <v>3722</v>
      </c>
      <c r="C89" s="362" t="s">
        <v>406</v>
      </c>
      <c r="D89" s="452" t="s">
        <v>386</v>
      </c>
      <c r="E89" s="16"/>
      <c r="F89" s="16">
        <f>915+915</f>
        <v>1830</v>
      </c>
      <c r="G89" s="58">
        <f t="shared" si="103"/>
        <v>1830</v>
      </c>
      <c r="H89" s="412"/>
      <c r="I89" s="413"/>
      <c r="J89" s="47">
        <f t="shared" ref="J89:J91" si="106">E89+H89</f>
        <v>0</v>
      </c>
      <c r="K89" s="16">
        <f t="shared" ref="K89:K91" si="107">F89+I89</f>
        <v>1830</v>
      </c>
      <c r="L89" s="58">
        <f t="shared" ref="L89:L91" si="108">SUM(J89:K89)</f>
        <v>1830</v>
      </c>
      <c r="M89" s="47">
        <v>0</v>
      </c>
      <c r="N89" s="16">
        <v>914.92749000000003</v>
      </c>
      <c r="O89" s="58">
        <f t="shared" si="104"/>
        <v>914.92749000000003</v>
      </c>
      <c r="P89" s="529">
        <f t="shared" si="100"/>
        <v>49.996037704918031</v>
      </c>
      <c r="Q89" s="47"/>
      <c r="R89" s="16">
        <v>914.92749000000003</v>
      </c>
      <c r="S89" s="58">
        <f t="shared" si="105"/>
        <v>914.92749000000003</v>
      </c>
      <c r="T89" s="562">
        <f t="shared" si="98"/>
        <v>49.996037704918031</v>
      </c>
      <c r="U89" s="386" t="s">
        <v>494</v>
      </c>
      <c r="V89" s="212" t="s">
        <v>311</v>
      </c>
      <c r="W89" s="201" t="s">
        <v>137</v>
      </c>
    </row>
    <row r="90" spans="1:23" s="328" customFormat="1" x14ac:dyDescent="0.2">
      <c r="A90" s="125"/>
      <c r="B90" s="362">
        <v>3722</v>
      </c>
      <c r="C90" s="362">
        <v>250</v>
      </c>
      <c r="D90" s="452" t="s">
        <v>378</v>
      </c>
      <c r="E90" s="47"/>
      <c r="F90" s="16"/>
      <c r="G90" s="58">
        <f t="shared" si="103"/>
        <v>0</v>
      </c>
      <c r="H90" s="412"/>
      <c r="I90" s="413"/>
      <c r="J90" s="47">
        <f t="shared" si="106"/>
        <v>0</v>
      </c>
      <c r="K90" s="16">
        <f t="shared" si="107"/>
        <v>0</v>
      </c>
      <c r="L90" s="58">
        <f t="shared" si="108"/>
        <v>0</v>
      </c>
      <c r="M90" s="47">
        <v>0</v>
      </c>
      <c r="N90" s="16"/>
      <c r="O90" s="58">
        <f t="shared" si="104"/>
        <v>0</v>
      </c>
      <c r="P90" s="529"/>
      <c r="Q90" s="47"/>
      <c r="R90" s="16"/>
      <c r="S90" s="58">
        <f t="shared" si="105"/>
        <v>0</v>
      </c>
      <c r="T90" s="562"/>
      <c r="U90" s="386" t="s">
        <v>439</v>
      </c>
      <c r="V90" s="212" t="s">
        <v>311</v>
      </c>
      <c r="W90" s="212" t="s">
        <v>370</v>
      </c>
    </row>
    <row r="91" spans="1:23" x14ac:dyDescent="0.2">
      <c r="A91" s="125"/>
      <c r="B91" s="362">
        <v>3745</v>
      </c>
      <c r="C91" s="362">
        <v>241</v>
      </c>
      <c r="D91" s="452" t="s">
        <v>77</v>
      </c>
      <c r="E91" s="47">
        <f>1736+2317+300+300</f>
        <v>4653</v>
      </c>
      <c r="F91" s="16"/>
      <c r="G91" s="58">
        <f t="shared" si="103"/>
        <v>4653</v>
      </c>
      <c r="H91" s="412"/>
      <c r="I91" s="413"/>
      <c r="J91" s="47">
        <f t="shared" si="106"/>
        <v>4653</v>
      </c>
      <c r="K91" s="16">
        <f t="shared" si="107"/>
        <v>0</v>
      </c>
      <c r="L91" s="58">
        <f t="shared" si="108"/>
        <v>4653</v>
      </c>
      <c r="M91" s="47">
        <v>442.327</v>
      </c>
      <c r="N91" s="16"/>
      <c r="O91" s="58">
        <f t="shared" si="104"/>
        <v>442.327</v>
      </c>
      <c r="P91" s="529">
        <f>O91/$L91*100</f>
        <v>9.5062755211691385</v>
      </c>
      <c r="Q91" s="47">
        <v>1089.4344599999999</v>
      </c>
      <c r="R91" s="16"/>
      <c r="S91" s="58">
        <f t="shared" si="105"/>
        <v>1089.4344599999999</v>
      </c>
      <c r="T91" s="562">
        <f t="shared" si="98"/>
        <v>23.413592520954221</v>
      </c>
      <c r="U91" s="516"/>
      <c r="V91" s="212" t="s">
        <v>268</v>
      </c>
      <c r="W91" s="201" t="s">
        <v>216</v>
      </c>
    </row>
    <row r="92" spans="1:23" x14ac:dyDescent="0.2">
      <c r="A92" s="125"/>
      <c r="B92" s="362">
        <v>3745</v>
      </c>
      <c r="C92" s="362">
        <v>242</v>
      </c>
      <c r="D92" s="452" t="s">
        <v>233</v>
      </c>
      <c r="E92" s="47">
        <f>417</f>
        <v>417</v>
      </c>
      <c r="F92" s="16"/>
      <c r="G92" s="58">
        <f t="shared" si="103"/>
        <v>417</v>
      </c>
      <c r="H92" s="422"/>
      <c r="I92" s="413"/>
      <c r="J92" s="47">
        <f t="shared" si="101"/>
        <v>417</v>
      </c>
      <c r="K92" s="16"/>
      <c r="L92" s="58">
        <f t="shared" si="102"/>
        <v>417</v>
      </c>
      <c r="M92" s="47">
        <v>64.510000000000005</v>
      </c>
      <c r="N92" s="16"/>
      <c r="O92" s="58">
        <f t="shared" si="104"/>
        <v>64.510000000000005</v>
      </c>
      <c r="P92" s="529">
        <f>O92/$L92*100</f>
        <v>15.470023980815348</v>
      </c>
      <c r="Q92" s="47">
        <v>105.282</v>
      </c>
      <c r="R92" s="16"/>
      <c r="S92" s="58">
        <f t="shared" si="105"/>
        <v>105.282</v>
      </c>
      <c r="T92" s="562">
        <f>S92/$L92*100</f>
        <v>25.247482014388488</v>
      </c>
      <c r="U92" s="386"/>
      <c r="V92" s="212" t="s">
        <v>268</v>
      </c>
      <c r="W92" s="201" t="s">
        <v>216</v>
      </c>
    </row>
    <row r="93" spans="1:23" s="366" customFormat="1" x14ac:dyDescent="0.2">
      <c r="A93" s="125"/>
      <c r="B93" s="362">
        <v>3745</v>
      </c>
      <c r="C93" s="362">
        <v>212</v>
      </c>
      <c r="D93" s="452" t="s">
        <v>484</v>
      </c>
      <c r="E93" s="47">
        <v>800</v>
      </c>
      <c r="F93" s="16"/>
      <c r="G93" s="58">
        <f t="shared" si="103"/>
        <v>800</v>
      </c>
      <c r="H93" s="422"/>
      <c r="I93" s="413"/>
      <c r="J93" s="47">
        <f t="shared" ref="J93" si="109">E93+H93</f>
        <v>800</v>
      </c>
      <c r="K93" s="16"/>
      <c r="L93" s="58">
        <f t="shared" ref="L93" si="110">SUM(J93:K93)</f>
        <v>800</v>
      </c>
      <c r="M93" s="47">
        <v>0</v>
      </c>
      <c r="N93" s="16"/>
      <c r="O93" s="58"/>
      <c r="P93" s="529"/>
      <c r="Q93" s="47"/>
      <c r="R93" s="16"/>
      <c r="S93" s="58"/>
      <c r="T93" s="562"/>
      <c r="U93" s="386"/>
      <c r="V93" s="212" t="s">
        <v>370</v>
      </c>
      <c r="W93" s="201" t="s">
        <v>137</v>
      </c>
    </row>
    <row r="94" spans="1:23" x14ac:dyDescent="0.2">
      <c r="A94" s="125"/>
      <c r="B94" s="362">
        <v>3745</v>
      </c>
      <c r="C94" s="362">
        <v>246</v>
      </c>
      <c r="D94" s="452" t="s">
        <v>452</v>
      </c>
      <c r="E94" s="47">
        <v>200</v>
      </c>
      <c r="F94" s="16"/>
      <c r="G94" s="58">
        <f>E94+F94</f>
        <v>200</v>
      </c>
      <c r="H94" s="412"/>
      <c r="I94" s="413"/>
      <c r="J94" s="47">
        <f t="shared" si="101"/>
        <v>200</v>
      </c>
      <c r="K94" s="16">
        <f>F94+I94</f>
        <v>0</v>
      </c>
      <c r="L94" s="58">
        <f t="shared" si="102"/>
        <v>200</v>
      </c>
      <c r="M94" s="47">
        <v>4.84</v>
      </c>
      <c r="N94" s="16"/>
      <c r="O94" s="58">
        <f>M94+N94</f>
        <v>4.84</v>
      </c>
      <c r="P94" s="529">
        <f>O94/$L94*100</f>
        <v>2.42</v>
      </c>
      <c r="Q94" s="47">
        <v>4.84</v>
      </c>
      <c r="R94" s="16"/>
      <c r="S94" s="58">
        <f>Q94+R94</f>
        <v>4.84</v>
      </c>
      <c r="T94" s="562">
        <f>S94/$L94*100</f>
        <v>2.42</v>
      </c>
      <c r="U94" s="386"/>
      <c r="V94" s="214" t="s">
        <v>325</v>
      </c>
      <c r="W94" s="201" t="s">
        <v>137</v>
      </c>
    </row>
    <row r="95" spans="1:23" x14ac:dyDescent="0.2">
      <c r="A95" s="127"/>
      <c r="B95" s="36">
        <v>3745</v>
      </c>
      <c r="C95" s="36">
        <v>1544</v>
      </c>
      <c r="D95" s="454" t="s">
        <v>270</v>
      </c>
      <c r="E95" s="62"/>
      <c r="F95" s="65"/>
      <c r="G95" s="64">
        <f>E95+F95</f>
        <v>0</v>
      </c>
      <c r="H95" s="426"/>
      <c r="I95" s="418"/>
      <c r="J95" s="62">
        <f t="shared" si="101"/>
        <v>0</v>
      </c>
      <c r="K95" s="65"/>
      <c r="L95" s="64">
        <f t="shared" si="102"/>
        <v>0</v>
      </c>
      <c r="M95" s="62">
        <v>0.14699000000000001</v>
      </c>
      <c r="N95" s="65"/>
      <c r="O95" s="64">
        <f>M95+N95</f>
        <v>0.14699000000000001</v>
      </c>
      <c r="P95" s="533"/>
      <c r="Q95" s="62">
        <v>0.14699000000000001</v>
      </c>
      <c r="R95" s="65"/>
      <c r="S95" s="64">
        <f>Q95+R95</f>
        <v>0.14699000000000001</v>
      </c>
      <c r="T95" s="566"/>
      <c r="U95" s="391"/>
      <c r="V95" s="63"/>
      <c r="W95" s="58"/>
    </row>
    <row r="96" spans="1:23" x14ac:dyDescent="0.2">
      <c r="A96" s="90">
        <v>43</v>
      </c>
      <c r="B96" s="32">
        <v>4300</v>
      </c>
      <c r="C96" s="32"/>
      <c r="D96" s="455" t="s">
        <v>78</v>
      </c>
      <c r="E96" s="19">
        <f t="shared" ref="E96:O96" si="111">SUM(E97:E101)</f>
        <v>9745</v>
      </c>
      <c r="F96" s="18">
        <f t="shared" si="111"/>
        <v>710</v>
      </c>
      <c r="G96" s="57">
        <f t="shared" si="111"/>
        <v>10455</v>
      </c>
      <c r="H96" s="419">
        <f t="shared" si="111"/>
        <v>7790.0079999999998</v>
      </c>
      <c r="I96" s="420">
        <f t="shared" si="111"/>
        <v>-81</v>
      </c>
      <c r="J96" s="56">
        <f t="shared" si="111"/>
        <v>17535.008000000002</v>
      </c>
      <c r="K96" s="18">
        <f t="shared" si="111"/>
        <v>629</v>
      </c>
      <c r="L96" s="57">
        <f t="shared" si="111"/>
        <v>18164.008000000002</v>
      </c>
      <c r="M96" s="56">
        <f t="shared" si="111"/>
        <v>3525.0357100000001</v>
      </c>
      <c r="N96" s="18">
        <f t="shared" si="111"/>
        <v>0</v>
      </c>
      <c r="O96" s="57">
        <f t="shared" si="111"/>
        <v>3525.0357100000001</v>
      </c>
      <c r="P96" s="532">
        <f t="shared" si="100"/>
        <v>19.406706438358757</v>
      </c>
      <c r="Q96" s="56">
        <f>SUM(Q97:Q101)</f>
        <v>12143.917229999999</v>
      </c>
      <c r="R96" s="18">
        <f>SUM(R97:R101)</f>
        <v>0</v>
      </c>
      <c r="S96" s="57">
        <f>SUM(S97:S101)</f>
        <v>12143.917229999999</v>
      </c>
      <c r="T96" s="565">
        <f>S96/$L96*100</f>
        <v>66.85703524244208</v>
      </c>
      <c r="U96" s="389"/>
      <c r="V96" s="59"/>
      <c r="W96" s="346"/>
    </row>
    <row r="97" spans="1:23" x14ac:dyDescent="0.2">
      <c r="A97" s="125"/>
      <c r="B97" s="362">
        <v>4349</v>
      </c>
      <c r="C97" s="362">
        <v>225</v>
      </c>
      <c r="D97" s="452" t="s">
        <v>349</v>
      </c>
      <c r="E97" s="47">
        <v>1967</v>
      </c>
      <c r="F97" s="16"/>
      <c r="G97" s="58">
        <f t="shared" ref="G97:G100" si="112">E97+F97</f>
        <v>1967</v>
      </c>
      <c r="H97" s="427"/>
      <c r="I97" s="413"/>
      <c r="J97" s="47">
        <f>E97+H97</f>
        <v>1967</v>
      </c>
      <c r="K97" s="16"/>
      <c r="L97" s="58">
        <f>SUM(J97:K97)</f>
        <v>1967</v>
      </c>
      <c r="M97" s="47">
        <v>0</v>
      </c>
      <c r="N97" s="16"/>
      <c r="O97" s="58">
        <f t="shared" ref="O97:O101" si="113">M97+N97</f>
        <v>0</v>
      </c>
      <c r="P97" s="529"/>
      <c r="Q97" s="47"/>
      <c r="R97" s="16"/>
      <c r="S97" s="58">
        <f t="shared" ref="S97:S101" si="114">Q97+R97</f>
        <v>0</v>
      </c>
      <c r="T97" s="562">
        <f t="shared" ref="T97:T105" si="115">S97/$L97*100</f>
        <v>0</v>
      </c>
      <c r="U97" s="386" t="s">
        <v>404</v>
      </c>
      <c r="V97" s="63" t="s">
        <v>267</v>
      </c>
      <c r="W97" s="58" t="s">
        <v>276</v>
      </c>
    </row>
    <row r="98" spans="1:23" x14ac:dyDescent="0.2">
      <c r="A98" s="125"/>
      <c r="B98" s="362">
        <v>4349</v>
      </c>
      <c r="C98" s="362">
        <v>228</v>
      </c>
      <c r="D98" s="452" t="s">
        <v>224</v>
      </c>
      <c r="E98" s="47">
        <v>44</v>
      </c>
      <c r="F98" s="16"/>
      <c r="G98" s="58">
        <f t="shared" si="112"/>
        <v>44</v>
      </c>
      <c r="H98" s="427"/>
      <c r="I98" s="413"/>
      <c r="J98" s="47">
        <f>E98+H98</f>
        <v>44</v>
      </c>
      <c r="K98" s="16"/>
      <c r="L98" s="58">
        <f>SUM(J98:K98)</f>
        <v>44</v>
      </c>
      <c r="M98" s="47">
        <v>0</v>
      </c>
      <c r="N98" s="16"/>
      <c r="O98" s="58">
        <f t="shared" si="113"/>
        <v>0</v>
      </c>
      <c r="P98" s="529">
        <f>O98/$L98*100</f>
        <v>0</v>
      </c>
      <c r="Q98" s="47">
        <v>1.2470000000000001</v>
      </c>
      <c r="R98" s="16"/>
      <c r="S98" s="58">
        <f t="shared" si="114"/>
        <v>1.2470000000000001</v>
      </c>
      <c r="T98" s="562">
        <f t="shared" si="115"/>
        <v>2.8340909090909094</v>
      </c>
      <c r="U98" s="386"/>
      <c r="V98" s="63" t="s">
        <v>267</v>
      </c>
      <c r="W98" s="58" t="s">
        <v>276</v>
      </c>
    </row>
    <row r="99" spans="1:23" x14ac:dyDescent="0.2">
      <c r="A99" s="125"/>
      <c r="B99" s="362">
        <v>4349</v>
      </c>
      <c r="C99" s="362">
        <v>254</v>
      </c>
      <c r="D99" s="452" t="s">
        <v>361</v>
      </c>
      <c r="E99" s="47">
        <v>100</v>
      </c>
      <c r="F99" s="16"/>
      <c r="G99" s="58">
        <f t="shared" si="112"/>
        <v>100</v>
      </c>
      <c r="H99" s="427"/>
      <c r="I99" s="413"/>
      <c r="J99" s="47">
        <f>E99+H99</f>
        <v>100</v>
      </c>
      <c r="K99" s="16"/>
      <c r="L99" s="58">
        <f>SUM(J99:K99)</f>
        <v>100</v>
      </c>
      <c r="M99" s="47">
        <v>0</v>
      </c>
      <c r="N99" s="16"/>
      <c r="O99" s="58">
        <f t="shared" si="113"/>
        <v>0</v>
      </c>
      <c r="P99" s="529"/>
      <c r="Q99" s="47">
        <v>100</v>
      </c>
      <c r="R99" s="16"/>
      <c r="S99" s="58">
        <f t="shared" si="114"/>
        <v>100</v>
      </c>
      <c r="T99" s="562">
        <f t="shared" si="115"/>
        <v>100</v>
      </c>
      <c r="U99" s="386" t="s">
        <v>371</v>
      </c>
      <c r="V99" s="63" t="s">
        <v>267</v>
      </c>
      <c r="W99" s="58" t="s">
        <v>276</v>
      </c>
    </row>
    <row r="100" spans="1:23" x14ac:dyDescent="0.2">
      <c r="A100" s="125"/>
      <c r="B100" s="362">
        <v>4351</v>
      </c>
      <c r="C100" s="362" t="s">
        <v>457</v>
      </c>
      <c r="D100" s="452" t="s">
        <v>39</v>
      </c>
      <c r="E100" s="16">
        <f>5733+591</f>
        <v>6324</v>
      </c>
      <c r="F100" s="16">
        <v>710</v>
      </c>
      <c r="G100" s="58">
        <f t="shared" si="112"/>
        <v>7034</v>
      </c>
      <c r="H100" s="427">
        <f>61+57.795+20</f>
        <v>138.79500000000002</v>
      </c>
      <c r="I100" s="413">
        <f>-61-20</f>
        <v>-81</v>
      </c>
      <c r="J100" s="47">
        <f t="shared" ref="J100" si="116">E100+H100</f>
        <v>6462.7950000000001</v>
      </c>
      <c r="K100" s="16">
        <f t="shared" ref="J100:K101" si="117">F100+I100</f>
        <v>629</v>
      </c>
      <c r="L100" s="58">
        <f t="shared" ref="L100:L101" si="118">SUM(J100:K100)</f>
        <v>7091.7950000000001</v>
      </c>
      <c r="M100" s="47">
        <f>1553.67871+60.5</f>
        <v>1614.1787099999999</v>
      </c>
      <c r="N100" s="16"/>
      <c r="O100" s="58">
        <f t="shared" si="113"/>
        <v>1614.1787099999999</v>
      </c>
      <c r="P100" s="529">
        <f>O100/$L100*100</f>
        <v>22.761215037941732</v>
      </c>
      <c r="Q100" s="47">
        <f>3190.09723+79.86</f>
        <v>3269.95723</v>
      </c>
      <c r="R100" s="16"/>
      <c r="S100" s="58">
        <f t="shared" si="114"/>
        <v>3269.95723</v>
      </c>
      <c r="T100" s="562">
        <f t="shared" si="115"/>
        <v>46.1090207768273</v>
      </c>
      <c r="U100" s="386"/>
      <c r="V100" s="216" t="s">
        <v>458</v>
      </c>
      <c r="W100" s="150" t="s">
        <v>372</v>
      </c>
    </row>
    <row r="101" spans="1:23" x14ac:dyDescent="0.2">
      <c r="A101" s="125"/>
      <c r="B101" s="362">
        <v>4355</v>
      </c>
      <c r="C101" s="362">
        <v>307</v>
      </c>
      <c r="D101" s="452" t="s">
        <v>235</v>
      </c>
      <c r="E101" s="47">
        <f>933+377</f>
        <v>1310</v>
      </c>
      <c r="F101" s="16"/>
      <c r="G101" s="58">
        <f>E101+F101</f>
        <v>1310</v>
      </c>
      <c r="H101" s="427">
        <f>883.607+3184.712+3582.894</f>
        <v>7651.2129999999997</v>
      </c>
      <c r="I101" s="413"/>
      <c r="J101" s="47">
        <f t="shared" si="117"/>
        <v>8961.2129999999997</v>
      </c>
      <c r="K101" s="16">
        <f t="shared" si="117"/>
        <v>0</v>
      </c>
      <c r="L101" s="58">
        <f t="shared" si="118"/>
        <v>8961.2129999999997</v>
      </c>
      <c r="M101" s="47">
        <v>1910.857</v>
      </c>
      <c r="N101" s="16"/>
      <c r="O101" s="58">
        <f t="shared" si="113"/>
        <v>1910.857</v>
      </c>
      <c r="P101" s="529">
        <f>O101/$L101*100</f>
        <v>21.323642234594804</v>
      </c>
      <c r="Q101" s="47">
        <v>8772.7129999999997</v>
      </c>
      <c r="R101" s="16"/>
      <c r="S101" s="58">
        <f t="shared" si="114"/>
        <v>8772.7129999999997</v>
      </c>
      <c r="T101" s="562">
        <f t="shared" si="115"/>
        <v>97.896490129182297</v>
      </c>
      <c r="U101" s="386" t="s">
        <v>360</v>
      </c>
      <c r="V101" s="211" t="s">
        <v>218</v>
      </c>
      <c r="W101" s="200" t="s">
        <v>450</v>
      </c>
    </row>
    <row r="102" spans="1:23" x14ac:dyDescent="0.2">
      <c r="A102" s="126">
        <v>53</v>
      </c>
      <c r="B102" s="24">
        <v>5300</v>
      </c>
      <c r="C102" s="24"/>
      <c r="D102" s="453" t="s">
        <v>124</v>
      </c>
      <c r="E102" s="450">
        <f t="shared" ref="E102:O102" si="119">SUM(E103:E105)</f>
        <v>3300</v>
      </c>
      <c r="F102" s="60">
        <f t="shared" si="119"/>
        <v>0</v>
      </c>
      <c r="G102" s="61">
        <f t="shared" si="119"/>
        <v>3300</v>
      </c>
      <c r="H102" s="428">
        <f t="shared" si="119"/>
        <v>0</v>
      </c>
      <c r="I102" s="415">
        <f t="shared" si="119"/>
        <v>0</v>
      </c>
      <c r="J102" s="59">
        <f t="shared" si="119"/>
        <v>3300</v>
      </c>
      <c r="K102" s="60">
        <f t="shared" si="119"/>
        <v>0</v>
      </c>
      <c r="L102" s="61">
        <f t="shared" si="119"/>
        <v>3300</v>
      </c>
      <c r="M102" s="59">
        <f t="shared" si="119"/>
        <v>469.31833</v>
      </c>
      <c r="N102" s="60">
        <f t="shared" si="119"/>
        <v>0</v>
      </c>
      <c r="O102" s="61">
        <f t="shared" si="119"/>
        <v>469.31833</v>
      </c>
      <c r="P102" s="530">
        <f t="shared" si="100"/>
        <v>14.221767575757577</v>
      </c>
      <c r="Q102" s="59">
        <f>SUM(Q103:Q105)</f>
        <v>1017.2568</v>
      </c>
      <c r="R102" s="60">
        <f>SUM(R103:R105)</f>
        <v>0</v>
      </c>
      <c r="S102" s="61">
        <f>SUM(S103:S105)</f>
        <v>1017.2568</v>
      </c>
      <c r="T102" s="563">
        <f t="shared" si="115"/>
        <v>30.825963636363635</v>
      </c>
      <c r="U102" s="387"/>
      <c r="V102" s="59"/>
      <c r="W102" s="85"/>
    </row>
    <row r="103" spans="1:23" x14ac:dyDescent="0.2">
      <c r="A103" s="90"/>
      <c r="B103" s="362" t="s">
        <v>437</v>
      </c>
      <c r="C103" s="33">
        <v>320</v>
      </c>
      <c r="D103" s="452" t="s">
        <v>165</v>
      </c>
      <c r="E103" s="16">
        <f>250+203</f>
        <v>453</v>
      </c>
      <c r="F103" s="16"/>
      <c r="G103" s="58">
        <f>E103+F103</f>
        <v>453</v>
      </c>
      <c r="H103" s="422"/>
      <c r="I103" s="420"/>
      <c r="J103" s="47">
        <f t="shared" ref="J103:K111" si="120">E103+H103</f>
        <v>453</v>
      </c>
      <c r="K103" s="16">
        <f t="shared" si="120"/>
        <v>0</v>
      </c>
      <c r="L103" s="58">
        <f>SUM(J103:K103)</f>
        <v>453</v>
      </c>
      <c r="M103" s="47">
        <v>70.067750000000004</v>
      </c>
      <c r="N103" s="16"/>
      <c r="O103" s="58">
        <f>M103+N103</f>
        <v>70.067750000000004</v>
      </c>
      <c r="P103" s="529">
        <f>O103/$L103*100</f>
        <v>15.467494481236205</v>
      </c>
      <c r="Q103" s="47">
        <f>35.41175+5</f>
        <v>40.411749999999998</v>
      </c>
      <c r="R103" s="16"/>
      <c r="S103" s="58">
        <f>Q103+R103</f>
        <v>40.411749999999998</v>
      </c>
      <c r="T103" s="562">
        <f t="shared" si="115"/>
        <v>8.9209161147902858</v>
      </c>
      <c r="U103" s="442"/>
      <c r="V103" s="325" t="s">
        <v>451</v>
      </c>
      <c r="W103" s="202" t="s">
        <v>405</v>
      </c>
    </row>
    <row r="104" spans="1:23" ht="13.5" customHeight="1" x14ac:dyDescent="0.2">
      <c r="A104" s="125"/>
      <c r="B104" s="362">
        <v>5311</v>
      </c>
      <c r="C104" s="362">
        <v>321</v>
      </c>
      <c r="D104" s="452" t="s">
        <v>79</v>
      </c>
      <c r="E104" s="47">
        <f>448+1979</f>
        <v>2427</v>
      </c>
      <c r="F104" s="16"/>
      <c r="G104" s="58">
        <f>E104+F104</f>
        <v>2427</v>
      </c>
      <c r="H104" s="412"/>
      <c r="I104" s="413"/>
      <c r="J104" s="47">
        <f t="shared" si="120"/>
        <v>2427</v>
      </c>
      <c r="K104" s="16">
        <f t="shared" si="120"/>
        <v>0</v>
      </c>
      <c r="L104" s="58">
        <f>SUM(J104:K104)</f>
        <v>2427</v>
      </c>
      <c r="M104" s="47">
        <v>287.07551000000001</v>
      </c>
      <c r="N104" s="16"/>
      <c r="O104" s="58">
        <f>M104+N104</f>
        <v>287.07551000000001</v>
      </c>
      <c r="P104" s="529">
        <f t="shared" si="100"/>
        <v>11.828409971157807</v>
      </c>
      <c r="Q104" s="47">
        <v>803.54231000000004</v>
      </c>
      <c r="R104" s="16"/>
      <c r="S104" s="58">
        <f>Q104+R104</f>
        <v>803.54231000000004</v>
      </c>
      <c r="T104" s="562">
        <f t="shared" si="115"/>
        <v>33.108459414915536</v>
      </c>
      <c r="U104" s="386"/>
      <c r="V104" s="217" t="s">
        <v>181</v>
      </c>
      <c r="W104" s="202" t="s">
        <v>272</v>
      </c>
    </row>
    <row r="105" spans="1:23" x14ac:dyDescent="0.2">
      <c r="A105" s="125"/>
      <c r="B105" s="362">
        <v>5512</v>
      </c>
      <c r="C105" s="362">
        <v>223</v>
      </c>
      <c r="D105" s="452" t="s">
        <v>211</v>
      </c>
      <c r="E105" s="47">
        <f>352+18+50</f>
        <v>420</v>
      </c>
      <c r="F105" s="16"/>
      <c r="G105" s="58">
        <f>E105+F105</f>
        <v>420</v>
      </c>
      <c r="H105" s="412"/>
      <c r="I105" s="413"/>
      <c r="J105" s="47">
        <f t="shared" si="120"/>
        <v>420</v>
      </c>
      <c r="K105" s="16">
        <f t="shared" si="120"/>
        <v>0</v>
      </c>
      <c r="L105" s="58">
        <f>SUM(J105:K105)</f>
        <v>420</v>
      </c>
      <c r="M105" s="47">
        <v>112.17507000000001</v>
      </c>
      <c r="N105" s="16"/>
      <c r="O105" s="58">
        <f>M105+N105</f>
        <v>112.17507000000001</v>
      </c>
      <c r="P105" s="529">
        <f t="shared" si="100"/>
        <v>26.708350000000003</v>
      </c>
      <c r="Q105" s="47">
        <v>173.30274</v>
      </c>
      <c r="R105" s="16"/>
      <c r="S105" s="58">
        <f>Q105+R105</f>
        <v>173.30274</v>
      </c>
      <c r="T105" s="562">
        <f t="shared" si="115"/>
        <v>41.26255714285714</v>
      </c>
      <c r="U105" s="386"/>
      <c r="V105" s="66" t="s">
        <v>183</v>
      </c>
      <c r="W105" s="271" t="s">
        <v>272</v>
      </c>
    </row>
    <row r="106" spans="1:23" x14ac:dyDescent="0.2">
      <c r="A106" s="126">
        <v>61</v>
      </c>
      <c r="B106" s="24">
        <v>6100</v>
      </c>
      <c r="C106" s="24"/>
      <c r="D106" s="453" t="s">
        <v>80</v>
      </c>
      <c r="E106" s="450">
        <f t="shared" ref="E106:O106" si="121">SUM(E107:E111)</f>
        <v>63814</v>
      </c>
      <c r="F106" s="60">
        <f t="shared" si="121"/>
        <v>645</v>
      </c>
      <c r="G106" s="61">
        <f t="shared" si="121"/>
        <v>64459</v>
      </c>
      <c r="H106" s="414">
        <f t="shared" si="121"/>
        <v>-381</v>
      </c>
      <c r="I106" s="415">
        <f t="shared" si="121"/>
        <v>381</v>
      </c>
      <c r="J106" s="59">
        <f t="shared" si="121"/>
        <v>63433</v>
      </c>
      <c r="K106" s="60">
        <f t="shared" si="121"/>
        <v>1026</v>
      </c>
      <c r="L106" s="61">
        <f t="shared" si="121"/>
        <v>64459</v>
      </c>
      <c r="M106" s="59">
        <f t="shared" si="121"/>
        <v>14220.418490000002</v>
      </c>
      <c r="N106" s="60">
        <f t="shared" si="121"/>
        <v>472.23</v>
      </c>
      <c r="O106" s="61">
        <f t="shared" si="121"/>
        <v>14692.648490000001</v>
      </c>
      <c r="P106" s="530">
        <f t="shared" si="100"/>
        <v>22.793789059712378</v>
      </c>
      <c r="Q106" s="59">
        <f>SUM(Q107:Q111)</f>
        <v>29702.852319999998</v>
      </c>
      <c r="R106" s="60">
        <f>SUM(R107:R111)</f>
        <v>1025.6472200000001</v>
      </c>
      <c r="S106" s="61">
        <f>SUM(S107:S111)</f>
        <v>30728.499539999997</v>
      </c>
      <c r="T106" s="563">
        <f t="shared" ref="T106:T122" si="122">S106/$L106*100</f>
        <v>47.671387300454548</v>
      </c>
      <c r="U106" s="387"/>
      <c r="V106" s="213"/>
      <c r="W106" s="85"/>
    </row>
    <row r="107" spans="1:23" x14ac:dyDescent="0.2">
      <c r="A107" s="125"/>
      <c r="B107" s="362">
        <v>6112</v>
      </c>
      <c r="C107" s="362">
        <v>314</v>
      </c>
      <c r="D107" s="452" t="s">
        <v>81</v>
      </c>
      <c r="E107" s="47">
        <f>3233+60</f>
        <v>3293</v>
      </c>
      <c r="F107" s="16"/>
      <c r="G107" s="58">
        <f>E107+F107</f>
        <v>3293</v>
      </c>
      <c r="H107" s="412"/>
      <c r="I107" s="413"/>
      <c r="J107" s="47">
        <f t="shared" si="120"/>
        <v>3293</v>
      </c>
      <c r="K107" s="16">
        <f t="shared" si="120"/>
        <v>0</v>
      </c>
      <c r="L107" s="58">
        <f t="shared" ref="L107:L111" si="123">SUM(J107:K107)</f>
        <v>3293</v>
      </c>
      <c r="M107" s="47">
        <v>785.21799999999996</v>
      </c>
      <c r="N107" s="16"/>
      <c r="O107" s="58">
        <f>M107+N107</f>
        <v>785.21799999999996</v>
      </c>
      <c r="P107" s="529">
        <f t="shared" si="100"/>
        <v>23.84506529000911</v>
      </c>
      <c r="Q107" s="47">
        <v>1567.433</v>
      </c>
      <c r="R107" s="16"/>
      <c r="S107" s="58">
        <f>Q107+R107</f>
        <v>1567.433</v>
      </c>
      <c r="T107" s="562">
        <f t="shared" si="122"/>
        <v>47.598937139386578</v>
      </c>
      <c r="U107" s="386"/>
      <c r="V107" s="209" t="s">
        <v>272</v>
      </c>
      <c r="W107" s="202" t="s">
        <v>405</v>
      </c>
    </row>
    <row r="108" spans="1:23" s="328" customFormat="1" x14ac:dyDescent="0.2">
      <c r="A108" s="125"/>
      <c r="B108" s="362">
        <v>6114</v>
      </c>
      <c r="C108" s="362">
        <v>110</v>
      </c>
      <c r="D108" s="452" t="s">
        <v>530</v>
      </c>
      <c r="E108" s="47"/>
      <c r="F108" s="16"/>
      <c r="G108" s="58"/>
      <c r="H108" s="412"/>
      <c r="I108" s="413"/>
      <c r="J108" s="47">
        <f t="shared" si="120"/>
        <v>0</v>
      </c>
      <c r="K108" s="16">
        <f t="shared" si="120"/>
        <v>0</v>
      </c>
      <c r="L108" s="58">
        <f t="shared" ref="L108" si="124">SUM(J108:K108)</f>
        <v>0</v>
      </c>
      <c r="M108" s="47">
        <v>0</v>
      </c>
      <c r="N108" s="16"/>
      <c r="O108" s="58">
        <f>M108+N108</f>
        <v>0</v>
      </c>
      <c r="P108" s="529"/>
      <c r="Q108" s="47"/>
      <c r="R108" s="16"/>
      <c r="S108" s="58"/>
      <c r="T108" s="562"/>
      <c r="U108" s="386"/>
      <c r="V108" s="209"/>
      <c r="W108" s="202"/>
    </row>
    <row r="109" spans="1:23" x14ac:dyDescent="0.2">
      <c r="A109" s="125"/>
      <c r="B109" s="362">
        <v>6171</v>
      </c>
      <c r="C109" s="362">
        <v>314</v>
      </c>
      <c r="D109" s="452" t="s">
        <v>117</v>
      </c>
      <c r="E109" s="47">
        <v>59217</v>
      </c>
      <c r="F109" s="16">
        <v>645</v>
      </c>
      <c r="G109" s="58">
        <f t="shared" ref="G109:G110" si="125">E109+F109</f>
        <v>59862</v>
      </c>
      <c r="H109" s="422">
        <f>'správa po odborech'!F97</f>
        <v>-381</v>
      </c>
      <c r="I109" s="423">
        <f>'správa po odborech'!G97</f>
        <v>381</v>
      </c>
      <c r="J109" s="47">
        <f t="shared" si="120"/>
        <v>58836</v>
      </c>
      <c r="K109" s="16">
        <f t="shared" si="120"/>
        <v>1026</v>
      </c>
      <c r="L109" s="58">
        <f t="shared" si="123"/>
        <v>59862</v>
      </c>
      <c r="M109" s="47">
        <f>'správa po odborech'!K97</f>
        <v>13310.18462</v>
      </c>
      <c r="N109" s="16">
        <f>'správa po odborech'!L97</f>
        <v>472.23</v>
      </c>
      <c r="O109" s="58">
        <f t="shared" ref="O109:O110" si="126">M109+N109</f>
        <v>13782.41462</v>
      </c>
      <c r="P109" s="529">
        <f>O109/$L109*100</f>
        <v>23.02364541779426</v>
      </c>
      <c r="Q109" s="47">
        <f>'správa po odborech'!O97</f>
        <v>27866.113069999999</v>
      </c>
      <c r="R109" s="16">
        <f>'správa po odborech'!P97</f>
        <v>1025.6472200000001</v>
      </c>
      <c r="S109" s="58">
        <f t="shared" ref="S109:S110" si="127">Q109+R109</f>
        <v>28891.760289999998</v>
      </c>
      <c r="T109" s="562">
        <f t="shared" si="122"/>
        <v>48.26394088069226</v>
      </c>
      <c r="U109" s="386" t="s">
        <v>480</v>
      </c>
      <c r="V109" s="218" t="s">
        <v>203</v>
      </c>
      <c r="W109" s="85"/>
    </row>
    <row r="110" spans="1:23" x14ac:dyDescent="0.2">
      <c r="A110" s="125"/>
      <c r="B110" s="362">
        <v>6171</v>
      </c>
      <c r="C110" s="362">
        <v>15479</v>
      </c>
      <c r="D110" s="452" t="s">
        <v>350</v>
      </c>
      <c r="E110" s="47">
        <v>662</v>
      </c>
      <c r="F110" s="16"/>
      <c r="G110" s="58">
        <f t="shared" si="125"/>
        <v>662</v>
      </c>
      <c r="H110" s="422"/>
      <c r="I110" s="423"/>
      <c r="J110" s="47">
        <f t="shared" si="120"/>
        <v>662</v>
      </c>
      <c r="K110" s="16">
        <f t="shared" si="120"/>
        <v>0</v>
      </c>
      <c r="L110" s="58">
        <f t="shared" si="123"/>
        <v>662</v>
      </c>
      <c r="M110" s="47">
        <v>85.057000000000002</v>
      </c>
      <c r="N110" s="16"/>
      <c r="O110" s="58">
        <f t="shared" si="126"/>
        <v>85.057000000000002</v>
      </c>
      <c r="P110" s="529">
        <f>O110/$L110*100</f>
        <v>12.848489425981874</v>
      </c>
      <c r="Q110" s="47">
        <v>203.55</v>
      </c>
      <c r="R110" s="16"/>
      <c r="S110" s="58">
        <f t="shared" si="127"/>
        <v>203.55</v>
      </c>
      <c r="T110" s="562">
        <f t="shared" si="122"/>
        <v>30.74773413897281</v>
      </c>
      <c r="U110" s="390" t="s">
        <v>481</v>
      </c>
      <c r="V110" s="63" t="s">
        <v>267</v>
      </c>
      <c r="W110" s="58" t="s">
        <v>276</v>
      </c>
    </row>
    <row r="111" spans="1:23" x14ac:dyDescent="0.2">
      <c r="A111" s="125"/>
      <c r="B111" s="362">
        <v>6171</v>
      </c>
      <c r="C111" s="362">
        <v>318</v>
      </c>
      <c r="D111" s="452" t="s">
        <v>231</v>
      </c>
      <c r="E111" s="16">
        <f>412+230</f>
        <v>642</v>
      </c>
      <c r="F111" s="16"/>
      <c r="G111" s="58">
        <f>E111+F111</f>
        <v>642</v>
      </c>
      <c r="H111" s="422"/>
      <c r="I111" s="423"/>
      <c r="J111" s="47">
        <f t="shared" si="120"/>
        <v>642</v>
      </c>
      <c r="K111" s="16">
        <f t="shared" si="120"/>
        <v>0</v>
      </c>
      <c r="L111" s="58">
        <f t="shared" si="123"/>
        <v>642</v>
      </c>
      <c r="M111" s="47">
        <v>39.958869999999997</v>
      </c>
      <c r="N111" s="16"/>
      <c r="O111" s="58">
        <f>M111+N111</f>
        <v>39.958869999999997</v>
      </c>
      <c r="P111" s="529">
        <f t="shared" si="100"/>
        <v>6.2241230529595004</v>
      </c>
      <c r="Q111" s="47">
        <v>65.756249999999994</v>
      </c>
      <c r="R111" s="16"/>
      <c r="S111" s="58">
        <f>Q111+R111</f>
        <v>65.756249999999994</v>
      </c>
      <c r="T111" s="562">
        <f t="shared" si="122"/>
        <v>10.242406542056074</v>
      </c>
      <c r="U111" s="386"/>
      <c r="V111" s="210" t="s">
        <v>182</v>
      </c>
      <c r="W111" s="203" t="s">
        <v>137</v>
      </c>
    </row>
    <row r="112" spans="1:23" x14ac:dyDescent="0.2">
      <c r="A112" s="126" t="s">
        <v>539</v>
      </c>
      <c r="B112" s="24">
        <v>6300</v>
      </c>
      <c r="C112" s="24"/>
      <c r="D112" s="453" t="s">
        <v>82</v>
      </c>
      <c r="E112" s="450">
        <f>SUM(E113:E121)</f>
        <v>12273</v>
      </c>
      <c r="F112" s="60">
        <f t="shared" ref="F112" si="128">SUM(F114:F121)</f>
        <v>0</v>
      </c>
      <c r="G112" s="61">
        <f t="shared" ref="G112:O112" si="129">SUM(G113:G121)</f>
        <v>12273</v>
      </c>
      <c r="H112" s="414">
        <f t="shared" si="129"/>
        <v>582.42169000000001</v>
      </c>
      <c r="I112" s="415">
        <f t="shared" si="129"/>
        <v>0</v>
      </c>
      <c r="J112" s="59">
        <f t="shared" si="129"/>
        <v>12855.421689999999</v>
      </c>
      <c r="K112" s="60">
        <f t="shared" si="129"/>
        <v>0</v>
      </c>
      <c r="L112" s="61">
        <f t="shared" si="129"/>
        <v>12855.421689999999</v>
      </c>
      <c r="M112" s="59">
        <f t="shared" si="129"/>
        <v>8948.9980699999996</v>
      </c>
      <c r="N112" s="60">
        <f t="shared" si="129"/>
        <v>0</v>
      </c>
      <c r="O112" s="61">
        <f t="shared" si="129"/>
        <v>8948.9980699999996</v>
      </c>
      <c r="P112" s="530">
        <f t="shared" si="100"/>
        <v>69.612637265421355</v>
      </c>
      <c r="Q112" s="59">
        <f>SUM(Q113:Q121)</f>
        <v>10526.848389999999</v>
      </c>
      <c r="R112" s="60">
        <f t="shared" ref="R112" si="130">SUM(R114:R121)</f>
        <v>0</v>
      </c>
      <c r="S112" s="61">
        <f>SUM(S113:S121)</f>
        <v>10526.848389999999</v>
      </c>
      <c r="T112" s="563">
        <f t="shared" si="122"/>
        <v>81.886449498491714</v>
      </c>
      <c r="U112" s="387"/>
      <c r="V112" s="213"/>
      <c r="W112" s="85"/>
    </row>
    <row r="113" spans="1:23" s="340" customFormat="1" x14ac:dyDescent="0.2">
      <c r="A113" s="545"/>
      <c r="B113" s="33">
        <v>6221</v>
      </c>
      <c r="C113" s="33">
        <v>323</v>
      </c>
      <c r="D113" s="546" t="s">
        <v>540</v>
      </c>
      <c r="E113" s="69"/>
      <c r="F113" s="547"/>
      <c r="G113" s="548"/>
      <c r="H113" s="427"/>
      <c r="I113" s="549"/>
      <c r="J113" s="152"/>
      <c r="K113" s="547"/>
      <c r="L113" s="548"/>
      <c r="M113" s="152">
        <v>7.6571800000000003</v>
      </c>
      <c r="N113" s="547"/>
      <c r="O113" s="58">
        <f t="shared" ref="O113:O119" si="131">M113+N113</f>
        <v>7.6571800000000003</v>
      </c>
      <c r="P113" s="529"/>
      <c r="Q113" s="152">
        <v>260.87729999999999</v>
      </c>
      <c r="R113" s="547"/>
      <c r="S113" s="58">
        <f t="shared" ref="S113:S120" si="132">Q113+R113</f>
        <v>260.87729999999999</v>
      </c>
      <c r="T113" s="562"/>
      <c r="U113" s="386" t="s">
        <v>541</v>
      </c>
      <c r="V113" s="152"/>
      <c r="W113" s="317"/>
    </row>
    <row r="114" spans="1:23" x14ac:dyDescent="0.2">
      <c r="A114" s="125"/>
      <c r="B114" s="362">
        <v>6320</v>
      </c>
      <c r="C114" s="362">
        <v>314</v>
      </c>
      <c r="D114" s="452" t="s">
        <v>212</v>
      </c>
      <c r="E114" s="47">
        <v>160</v>
      </c>
      <c r="F114" s="16"/>
      <c r="G114" s="58">
        <f t="shared" ref="G114:G121" si="133">E114+F114</f>
        <v>160</v>
      </c>
      <c r="H114" s="422"/>
      <c r="I114" s="413"/>
      <c r="J114" s="47">
        <f t="shared" ref="J114:J121" si="134">E114+H114</f>
        <v>160</v>
      </c>
      <c r="K114" s="16"/>
      <c r="L114" s="58">
        <f t="shared" ref="L114:L121" si="135">SUM(J114:K114)</f>
        <v>160</v>
      </c>
      <c r="M114" s="47">
        <v>136.81</v>
      </c>
      <c r="N114" s="16"/>
      <c r="O114" s="58">
        <f t="shared" si="131"/>
        <v>136.81</v>
      </c>
      <c r="P114" s="529">
        <f t="shared" si="100"/>
        <v>85.506250000000009</v>
      </c>
      <c r="Q114" s="47">
        <v>136.81</v>
      </c>
      <c r="R114" s="16"/>
      <c r="S114" s="58">
        <f t="shared" si="132"/>
        <v>136.81</v>
      </c>
      <c r="T114" s="562">
        <f t="shared" si="122"/>
        <v>85.506250000000009</v>
      </c>
      <c r="U114" s="386"/>
      <c r="V114" s="212" t="s">
        <v>425</v>
      </c>
      <c r="W114" s="201" t="s">
        <v>68</v>
      </c>
    </row>
    <row r="115" spans="1:23" x14ac:dyDescent="0.2">
      <c r="A115" s="125"/>
      <c r="B115" s="362">
        <v>6399</v>
      </c>
      <c r="C115" s="362">
        <v>314</v>
      </c>
      <c r="D115" s="452" t="s">
        <v>232</v>
      </c>
      <c r="E115" s="47">
        <v>70</v>
      </c>
      <c r="F115" s="16"/>
      <c r="G115" s="58">
        <f t="shared" si="133"/>
        <v>70</v>
      </c>
      <c r="H115" s="422"/>
      <c r="I115" s="413"/>
      <c r="J115" s="47">
        <f t="shared" si="134"/>
        <v>70</v>
      </c>
      <c r="K115" s="16"/>
      <c r="L115" s="58">
        <f t="shared" si="135"/>
        <v>70</v>
      </c>
      <c r="M115" s="47"/>
      <c r="N115" s="16"/>
      <c r="O115" s="58">
        <f t="shared" si="131"/>
        <v>0</v>
      </c>
      <c r="P115" s="529">
        <f t="shared" si="100"/>
        <v>0</v>
      </c>
      <c r="Q115" s="47">
        <v>61.603999999999999</v>
      </c>
      <c r="R115" s="16"/>
      <c r="S115" s="58">
        <f t="shared" si="132"/>
        <v>61.603999999999999</v>
      </c>
      <c r="T115" s="562">
        <f t="shared" si="122"/>
        <v>88.005714285714291</v>
      </c>
      <c r="U115" s="386"/>
      <c r="V115" s="219" t="s">
        <v>450</v>
      </c>
      <c r="W115" s="202" t="s">
        <v>405</v>
      </c>
    </row>
    <row r="116" spans="1:23" x14ac:dyDescent="0.2">
      <c r="A116" s="125"/>
      <c r="B116" s="362">
        <v>6399</v>
      </c>
      <c r="C116" s="362">
        <v>315</v>
      </c>
      <c r="D116" s="452" t="s">
        <v>83</v>
      </c>
      <c r="E116" s="47">
        <v>7680</v>
      </c>
      <c r="F116" s="16"/>
      <c r="G116" s="58">
        <f t="shared" si="133"/>
        <v>7680</v>
      </c>
      <c r="H116" s="422">
        <v>196</v>
      </c>
      <c r="I116" s="413"/>
      <c r="J116" s="47">
        <f t="shared" si="134"/>
        <v>7876</v>
      </c>
      <c r="K116" s="16"/>
      <c r="L116" s="58">
        <f t="shared" si="135"/>
        <v>7876</v>
      </c>
      <c r="M116" s="47">
        <v>7875.88</v>
      </c>
      <c r="N116" s="16"/>
      <c r="O116" s="58">
        <f t="shared" si="131"/>
        <v>7875.88</v>
      </c>
      <c r="P116" s="529">
        <f t="shared" si="100"/>
        <v>99.998476383951242</v>
      </c>
      <c r="Q116" s="47">
        <v>7875.88</v>
      </c>
      <c r="R116" s="16"/>
      <c r="S116" s="58">
        <f t="shared" si="132"/>
        <v>7875.88</v>
      </c>
      <c r="T116" s="562">
        <f t="shared" si="122"/>
        <v>99.998476383951242</v>
      </c>
      <c r="U116" s="386" t="s">
        <v>213</v>
      </c>
      <c r="V116" s="211" t="s">
        <v>218</v>
      </c>
      <c r="W116" s="200" t="s">
        <v>450</v>
      </c>
    </row>
    <row r="117" spans="1:23" x14ac:dyDescent="0.2">
      <c r="A117" s="125"/>
      <c r="B117" s="362">
        <v>6399</v>
      </c>
      <c r="C117" s="362">
        <v>665</v>
      </c>
      <c r="D117" s="452" t="s">
        <v>237</v>
      </c>
      <c r="E117" s="47">
        <v>750</v>
      </c>
      <c r="F117" s="16"/>
      <c r="G117" s="58">
        <f t="shared" si="133"/>
        <v>750</v>
      </c>
      <c r="H117" s="422"/>
      <c r="I117" s="413"/>
      <c r="J117" s="47">
        <f t="shared" si="134"/>
        <v>750</v>
      </c>
      <c r="K117" s="16"/>
      <c r="L117" s="58">
        <f t="shared" si="135"/>
        <v>750</v>
      </c>
      <c r="M117" s="47">
        <v>392.53278</v>
      </c>
      <c r="N117" s="16"/>
      <c r="O117" s="58">
        <f t="shared" si="131"/>
        <v>392.53278</v>
      </c>
      <c r="P117" s="529">
        <f t="shared" si="100"/>
        <v>52.337703999999995</v>
      </c>
      <c r="Q117" s="47">
        <v>558.59843000000001</v>
      </c>
      <c r="R117" s="16"/>
      <c r="S117" s="58">
        <f t="shared" si="132"/>
        <v>558.59843000000001</v>
      </c>
      <c r="T117" s="562">
        <f t="shared" si="122"/>
        <v>74.479790666666673</v>
      </c>
      <c r="U117" s="386"/>
      <c r="V117" s="211" t="s">
        <v>218</v>
      </c>
      <c r="W117" s="200" t="s">
        <v>450</v>
      </c>
    </row>
    <row r="118" spans="1:23" x14ac:dyDescent="0.2">
      <c r="A118" s="125"/>
      <c r="B118" s="362">
        <v>6402</v>
      </c>
      <c r="C118" s="362"/>
      <c r="D118" s="452" t="s">
        <v>314</v>
      </c>
      <c r="E118" s="47">
        <v>31</v>
      </c>
      <c r="F118" s="16"/>
      <c r="G118" s="58">
        <f t="shared" si="133"/>
        <v>31</v>
      </c>
      <c r="H118" s="422"/>
      <c r="I118" s="413"/>
      <c r="J118" s="47">
        <f>E118+H118</f>
        <v>31</v>
      </c>
      <c r="K118" s="16"/>
      <c r="L118" s="58">
        <f>SUM(J118:K118)</f>
        <v>31</v>
      </c>
      <c r="M118" s="47">
        <v>10</v>
      </c>
      <c r="N118" s="16"/>
      <c r="O118" s="58">
        <f t="shared" si="131"/>
        <v>10</v>
      </c>
      <c r="P118" s="529">
        <f t="shared" si="100"/>
        <v>32.258064516129032</v>
      </c>
      <c r="Q118" s="47">
        <v>10</v>
      </c>
      <c r="R118" s="16"/>
      <c r="S118" s="58">
        <f t="shared" si="132"/>
        <v>10</v>
      </c>
      <c r="T118" s="562">
        <f t="shared" si="122"/>
        <v>32.258064516129032</v>
      </c>
      <c r="U118" s="386" t="s">
        <v>482</v>
      </c>
      <c r="V118" s="211" t="s">
        <v>218</v>
      </c>
      <c r="W118" s="200" t="s">
        <v>450</v>
      </c>
    </row>
    <row r="119" spans="1:23" x14ac:dyDescent="0.2">
      <c r="A119" s="125"/>
      <c r="B119" s="362">
        <v>6409</v>
      </c>
      <c r="C119" s="362">
        <v>100.511</v>
      </c>
      <c r="D119" s="452" t="s">
        <v>184</v>
      </c>
      <c r="E119" s="47">
        <v>534</v>
      </c>
      <c r="F119" s="16"/>
      <c r="G119" s="58">
        <f t="shared" si="133"/>
        <v>534</v>
      </c>
      <c r="H119" s="422"/>
      <c r="I119" s="413"/>
      <c r="J119" s="47">
        <f t="shared" si="134"/>
        <v>534</v>
      </c>
      <c r="K119" s="16"/>
      <c r="L119" s="58">
        <f t="shared" si="135"/>
        <v>534</v>
      </c>
      <c r="M119" s="47">
        <v>526.11811</v>
      </c>
      <c r="N119" s="16"/>
      <c r="O119" s="58">
        <f t="shared" si="131"/>
        <v>526.11811</v>
      </c>
      <c r="P119" s="529">
        <f t="shared" si="100"/>
        <v>98.523990636704113</v>
      </c>
      <c r="Q119" s="47">
        <f>146.33466+379.19</f>
        <v>525.52466000000004</v>
      </c>
      <c r="R119" s="16"/>
      <c r="S119" s="58">
        <f t="shared" si="132"/>
        <v>525.52466000000004</v>
      </c>
      <c r="T119" s="562">
        <f t="shared" si="122"/>
        <v>98.412857677902636</v>
      </c>
      <c r="U119" s="386"/>
      <c r="V119" s="211" t="s">
        <v>218</v>
      </c>
      <c r="W119" s="202" t="s">
        <v>272</v>
      </c>
    </row>
    <row r="120" spans="1:23" s="328" customFormat="1" x14ac:dyDescent="0.2">
      <c r="A120" s="125"/>
      <c r="B120" s="362">
        <v>6409</v>
      </c>
      <c r="C120" s="362"/>
      <c r="D120" s="452" t="s">
        <v>395</v>
      </c>
      <c r="E120" s="47">
        <v>1098</v>
      </c>
      <c r="F120" s="16"/>
      <c r="G120" s="58">
        <f t="shared" si="133"/>
        <v>1098</v>
      </c>
      <c r="H120" s="422"/>
      <c r="I120" s="413"/>
      <c r="J120" s="47">
        <f t="shared" ref="J120" si="136">E120+H120</f>
        <v>1098</v>
      </c>
      <c r="K120" s="16"/>
      <c r="L120" s="58">
        <f t="shared" ref="L120" si="137">SUM(J120:K120)</f>
        <v>1098</v>
      </c>
      <c r="M120" s="47"/>
      <c r="N120" s="16"/>
      <c r="O120" s="58">
        <f t="shared" ref="O120" si="138">M120+N120</f>
        <v>0</v>
      </c>
      <c r="P120" s="529">
        <f t="shared" ref="P120" si="139">O120/$L120*100</f>
        <v>0</v>
      </c>
      <c r="Q120" s="47">
        <v>1097.5540000000001</v>
      </c>
      <c r="R120" s="16"/>
      <c r="S120" s="58">
        <f t="shared" si="132"/>
        <v>1097.5540000000001</v>
      </c>
      <c r="T120" s="562">
        <f t="shared" ref="T120" si="140">S120/$L120*100</f>
        <v>99.959380692167585</v>
      </c>
      <c r="U120" s="386" t="s">
        <v>483</v>
      </c>
      <c r="V120" s="220" t="s">
        <v>450</v>
      </c>
      <c r="W120" s="200" t="s">
        <v>277</v>
      </c>
    </row>
    <row r="121" spans="1:23" x14ac:dyDescent="0.2">
      <c r="A121" s="125"/>
      <c r="B121" s="362">
        <v>6409</v>
      </c>
      <c r="C121" s="362"/>
      <c r="D121" s="456" t="s">
        <v>168</v>
      </c>
      <c r="E121" s="47">
        <f>400+1550</f>
        <v>1950</v>
      </c>
      <c r="F121" s="47">
        <v>0</v>
      </c>
      <c r="G121" s="58">
        <f t="shared" si="133"/>
        <v>1950</v>
      </c>
      <c r="H121" s="422">
        <f>356.42169-1250+130+1150</f>
        <v>386.42169000000001</v>
      </c>
      <c r="I121" s="423"/>
      <c r="J121" s="47">
        <f t="shared" si="134"/>
        <v>2336.4216900000001</v>
      </c>
      <c r="K121" s="16">
        <f>F121+I121</f>
        <v>0</v>
      </c>
      <c r="L121" s="58">
        <f t="shared" si="135"/>
        <v>2336.4216900000001</v>
      </c>
      <c r="M121" s="47"/>
      <c r="N121" s="16"/>
      <c r="O121" s="58">
        <f t="shared" ref="O121" si="141">M121+N121</f>
        <v>0</v>
      </c>
      <c r="P121" s="529">
        <f t="shared" si="100"/>
        <v>0</v>
      </c>
      <c r="Q121" s="47"/>
      <c r="R121" s="16"/>
      <c r="S121" s="58">
        <f t="shared" ref="S121" si="142">Q121+R121</f>
        <v>0</v>
      </c>
      <c r="T121" s="562">
        <f t="shared" si="122"/>
        <v>0</v>
      </c>
      <c r="U121" s="386"/>
      <c r="V121" s="220" t="s">
        <v>450</v>
      </c>
      <c r="W121" s="200" t="s">
        <v>277</v>
      </c>
    </row>
    <row r="122" spans="1:23" ht="13.5" thickBot="1" x14ac:dyDescent="0.25">
      <c r="A122" s="128"/>
      <c r="B122" s="99"/>
      <c r="C122" s="99"/>
      <c r="D122" s="457" t="s">
        <v>84</v>
      </c>
      <c r="E122" s="451">
        <f t="shared" ref="E122:O122" si="143">SUM(E5+E8+E14+E31+E44+E56+E64+E66+E86+E96+E102+E106+E112)</f>
        <v>174769</v>
      </c>
      <c r="F122" s="228">
        <f t="shared" si="143"/>
        <v>42326</v>
      </c>
      <c r="G122" s="228">
        <f t="shared" si="143"/>
        <v>217095</v>
      </c>
      <c r="H122" s="429">
        <f t="shared" si="143"/>
        <v>-510.53781000000083</v>
      </c>
      <c r="I122" s="429">
        <f t="shared" si="143"/>
        <v>9181</v>
      </c>
      <c r="J122" s="149">
        <f t="shared" si="143"/>
        <v>174258.46218999999</v>
      </c>
      <c r="K122" s="228">
        <f t="shared" si="143"/>
        <v>51507</v>
      </c>
      <c r="L122" s="228">
        <f t="shared" si="143"/>
        <v>225765.46218999999</v>
      </c>
      <c r="M122" s="149">
        <f t="shared" si="143"/>
        <v>39669.549010000002</v>
      </c>
      <c r="N122" s="228">
        <f t="shared" si="143"/>
        <v>1782.65769</v>
      </c>
      <c r="O122" s="228">
        <f t="shared" si="143"/>
        <v>41452.206700000002</v>
      </c>
      <c r="P122" s="534">
        <f t="shared" si="100"/>
        <v>18.360738749806913</v>
      </c>
      <c r="Q122" s="149">
        <f>SUM(Q5+Q8+Q14+Q31+Q44+Q56+Q64+Q66+Q86+Q96+Q102+Q106+Q112)</f>
        <v>80484.105609999999</v>
      </c>
      <c r="R122" s="228">
        <f>SUM(R5+R8+R14+R31+R44+R56+R64+R66+R86+R96+R102+R106+R112)</f>
        <v>9698.7398600000015</v>
      </c>
      <c r="S122" s="228">
        <f>SUM(S5+S8+S14+S31+S44+S56+S64+S66+S86+S96+S102+S106+S112)</f>
        <v>90182.84547</v>
      </c>
      <c r="T122" s="567">
        <f t="shared" si="122"/>
        <v>39.945368346068719</v>
      </c>
      <c r="U122" s="393"/>
      <c r="V122" s="149"/>
      <c r="W122" s="347"/>
    </row>
    <row r="123" spans="1:23" ht="13.5" thickBot="1" x14ac:dyDescent="0.25">
      <c r="A123" s="46"/>
      <c r="B123" s="114"/>
      <c r="C123" s="114"/>
      <c r="D123" s="114"/>
      <c r="E123" s="443" t="s">
        <v>85</v>
      </c>
      <c r="F123" s="444"/>
      <c r="G123" s="445">
        <f>SUM(E122:F122)</f>
        <v>217095</v>
      </c>
      <c r="H123" s="446"/>
      <c r="I123" s="447"/>
      <c r="J123" s="443"/>
      <c r="K123" s="114"/>
      <c r="L123" s="448">
        <f>+G122+H122+I122</f>
        <v>225765.46218999999</v>
      </c>
      <c r="M123" s="443" t="s">
        <v>85</v>
      </c>
      <c r="N123" s="114"/>
      <c r="O123" s="448">
        <f>SUM(M122:N122)</f>
        <v>41452.206700000002</v>
      </c>
      <c r="P123" s="448"/>
      <c r="Q123" s="443" t="s">
        <v>85</v>
      </c>
      <c r="R123" s="114"/>
      <c r="S123" s="448">
        <f>SUM(Q122:R122)</f>
        <v>90182.84547</v>
      </c>
      <c r="T123" s="448"/>
      <c r="U123" s="449"/>
      <c r="V123" s="279"/>
      <c r="W123" s="88"/>
    </row>
    <row r="124" spans="1:23" x14ac:dyDescent="0.2">
      <c r="A124" s="45"/>
      <c r="B124" s="23"/>
      <c r="C124" s="23"/>
      <c r="D124" s="299"/>
      <c r="E124" s="23"/>
      <c r="F124" s="23"/>
      <c r="G124" s="129"/>
      <c r="H124" s="23"/>
      <c r="I124" s="552"/>
      <c r="J124" s="23"/>
      <c r="K124" s="23"/>
      <c r="L124" s="129"/>
      <c r="M124" s="23"/>
      <c r="N124" s="23"/>
      <c r="O124" s="129"/>
      <c r="P124" s="129"/>
      <c r="Q124" s="23"/>
      <c r="R124" s="23"/>
      <c r="S124" s="129"/>
      <c r="T124" s="129"/>
      <c r="U124" s="394"/>
      <c r="V124" s="23"/>
    </row>
    <row r="125" spans="1:23" s="328" customFormat="1" x14ac:dyDescent="0.2">
      <c r="A125" s="45"/>
      <c r="B125" s="23"/>
      <c r="C125" s="23"/>
      <c r="D125" s="334"/>
      <c r="E125" s="23"/>
      <c r="F125" s="23"/>
      <c r="G125" s="129"/>
      <c r="H125" s="23"/>
      <c r="I125" s="23"/>
      <c r="J125" s="23"/>
      <c r="K125" s="23"/>
      <c r="L125" s="129"/>
      <c r="M125" s="23"/>
      <c r="N125" s="23"/>
      <c r="O125" s="129"/>
      <c r="P125" s="129"/>
      <c r="Q125" s="23"/>
      <c r="R125" s="23"/>
      <c r="S125" s="129"/>
      <c r="T125" s="129"/>
      <c r="U125" s="394"/>
      <c r="V125" s="23"/>
      <c r="W125" s="22"/>
    </row>
    <row r="126" spans="1:23" x14ac:dyDescent="0.2">
      <c r="D126" s="170"/>
      <c r="H126" s="113"/>
      <c r="I126" s="113"/>
      <c r="R126" s="135"/>
    </row>
    <row r="127" spans="1:23" x14ac:dyDescent="0.2">
      <c r="D127" s="170"/>
      <c r="H127" s="135"/>
      <c r="I127" s="113"/>
      <c r="M127" s="551"/>
    </row>
    <row r="128" spans="1:23" x14ac:dyDescent="0.2">
      <c r="H128" s="113"/>
      <c r="I128" s="113"/>
      <c r="M128" s="551"/>
    </row>
    <row r="129" spans="7:15" x14ac:dyDescent="0.2">
      <c r="G129" s="135"/>
      <c r="H129" s="113"/>
      <c r="I129" s="113"/>
      <c r="M129" s="551"/>
      <c r="O129" s="550"/>
    </row>
    <row r="130" spans="7:15" x14ac:dyDescent="0.2">
      <c r="H130" s="113"/>
      <c r="I130" s="113"/>
      <c r="K130" s="135"/>
      <c r="L130" s="135"/>
      <c r="M130" s="551"/>
    </row>
    <row r="131" spans="7:15" x14ac:dyDescent="0.2">
      <c r="H131" s="113"/>
      <c r="I131" s="113"/>
      <c r="M131" s="551"/>
    </row>
    <row r="132" spans="7:15" x14ac:dyDescent="0.2">
      <c r="H132" s="113"/>
      <c r="I132" s="113"/>
    </row>
    <row r="133" spans="7:15" x14ac:dyDescent="0.2">
      <c r="H133" s="113"/>
      <c r="I133" s="113"/>
    </row>
    <row r="134" spans="7:15" x14ac:dyDescent="0.2">
      <c r="H134" s="113"/>
      <c r="I134" s="113"/>
    </row>
    <row r="135" spans="7:15" x14ac:dyDescent="0.2">
      <c r="H135" s="113"/>
      <c r="I135" s="113"/>
    </row>
    <row r="136" spans="7:15" x14ac:dyDescent="0.2">
      <c r="H136" s="113"/>
      <c r="I136" s="113"/>
    </row>
    <row r="137" spans="7:15" x14ac:dyDescent="0.2">
      <c r="H137" s="113"/>
      <c r="I137" s="113"/>
    </row>
    <row r="138" spans="7:15" x14ac:dyDescent="0.2">
      <c r="H138" s="113"/>
      <c r="I138" s="113"/>
    </row>
    <row r="139" spans="7:15" x14ac:dyDescent="0.2">
      <c r="H139" s="113"/>
      <c r="I139" s="113"/>
    </row>
    <row r="140" spans="7:15" x14ac:dyDescent="0.2">
      <c r="H140" s="113"/>
      <c r="I140" s="113"/>
    </row>
    <row r="141" spans="7:15" x14ac:dyDescent="0.2">
      <c r="H141" s="113"/>
      <c r="I141" s="113"/>
    </row>
    <row r="142" spans="7:15" x14ac:dyDescent="0.2">
      <c r="H142" s="113"/>
      <c r="I142" s="113"/>
    </row>
    <row r="143" spans="7:15" x14ac:dyDescent="0.2">
      <c r="H143" s="113"/>
      <c r="I143" s="113"/>
    </row>
    <row r="144" spans="7:15" x14ac:dyDescent="0.2">
      <c r="H144" s="113"/>
      <c r="I144" s="113"/>
    </row>
    <row r="145" spans="8:9" x14ac:dyDescent="0.2">
      <c r="H145" s="113"/>
      <c r="I145" s="113"/>
    </row>
    <row r="146" spans="8:9" x14ac:dyDescent="0.2">
      <c r="H146" s="113"/>
      <c r="I146" s="113"/>
    </row>
    <row r="147" spans="8:9" x14ac:dyDescent="0.2">
      <c r="H147" s="113"/>
      <c r="I147" s="113"/>
    </row>
    <row r="148" spans="8:9" x14ac:dyDescent="0.2">
      <c r="H148" s="113"/>
      <c r="I148" s="113"/>
    </row>
    <row r="149" spans="8:9" x14ac:dyDescent="0.2">
      <c r="H149" s="113"/>
      <c r="I149" s="113"/>
    </row>
    <row r="150" spans="8:9" x14ac:dyDescent="0.2">
      <c r="H150" s="113"/>
      <c r="I150" s="113"/>
    </row>
    <row r="151" spans="8:9" x14ac:dyDescent="0.2">
      <c r="H151" s="113"/>
      <c r="I151" s="113"/>
    </row>
    <row r="152" spans="8:9" x14ac:dyDescent="0.2">
      <c r="H152" s="113"/>
      <c r="I152" s="113"/>
    </row>
    <row r="153" spans="8:9" x14ac:dyDescent="0.2">
      <c r="H153" s="113"/>
      <c r="I153" s="113"/>
    </row>
    <row r="154" spans="8:9" x14ac:dyDescent="0.2">
      <c r="H154" s="113"/>
      <c r="I154" s="113"/>
    </row>
    <row r="155" spans="8:9" x14ac:dyDescent="0.2">
      <c r="H155" s="113"/>
      <c r="I155" s="113"/>
    </row>
    <row r="156" spans="8:9" x14ac:dyDescent="0.2">
      <c r="H156" s="113"/>
      <c r="I156" s="113"/>
    </row>
    <row r="157" spans="8:9" x14ac:dyDescent="0.2">
      <c r="H157" s="113"/>
      <c r="I157" s="113"/>
    </row>
    <row r="158" spans="8:9" x14ac:dyDescent="0.2">
      <c r="H158" s="113"/>
      <c r="I158" s="113"/>
    </row>
    <row r="159" spans="8:9" x14ac:dyDescent="0.2">
      <c r="H159" s="113"/>
      <c r="I159" s="113"/>
    </row>
    <row r="160" spans="8:9" x14ac:dyDescent="0.2">
      <c r="H160" s="113"/>
      <c r="I160" s="113"/>
    </row>
    <row r="161" spans="8:9" x14ac:dyDescent="0.2">
      <c r="H161" s="113"/>
      <c r="I161" s="113"/>
    </row>
    <row r="162" spans="8:9" x14ac:dyDescent="0.2">
      <c r="H162" s="113"/>
      <c r="I162" s="113"/>
    </row>
    <row r="163" spans="8:9" x14ac:dyDescent="0.2">
      <c r="H163" s="113"/>
      <c r="I163" s="113"/>
    </row>
    <row r="164" spans="8:9" x14ac:dyDescent="0.2">
      <c r="H164" s="113"/>
      <c r="I164" s="113"/>
    </row>
    <row r="165" spans="8:9" x14ac:dyDescent="0.2">
      <c r="H165" s="113"/>
      <c r="I165" s="113"/>
    </row>
    <row r="166" spans="8:9" x14ac:dyDescent="0.2">
      <c r="H166" s="113"/>
      <c r="I166" s="113"/>
    </row>
    <row r="167" spans="8:9" x14ac:dyDescent="0.2">
      <c r="H167" s="113"/>
      <c r="I167" s="113"/>
    </row>
    <row r="168" spans="8:9" x14ac:dyDescent="0.2">
      <c r="H168" s="113"/>
      <c r="I168" s="113"/>
    </row>
    <row r="169" spans="8:9" x14ac:dyDescent="0.2">
      <c r="H169" s="113"/>
      <c r="I169" s="113"/>
    </row>
    <row r="170" spans="8:9" x14ac:dyDescent="0.2">
      <c r="H170" s="113"/>
      <c r="I170" s="113"/>
    </row>
    <row r="171" spans="8:9" x14ac:dyDescent="0.2">
      <c r="H171" s="113"/>
      <c r="I171" s="113"/>
    </row>
    <row r="172" spans="8:9" x14ac:dyDescent="0.2">
      <c r="H172" s="113"/>
      <c r="I172" s="113"/>
    </row>
    <row r="173" spans="8:9" x14ac:dyDescent="0.2">
      <c r="H173" s="113"/>
      <c r="I173" s="113"/>
    </row>
    <row r="174" spans="8:9" x14ac:dyDescent="0.2">
      <c r="H174" s="113"/>
      <c r="I174" s="113"/>
    </row>
    <row r="175" spans="8:9" x14ac:dyDescent="0.2">
      <c r="H175" s="113"/>
      <c r="I175" s="113"/>
    </row>
    <row r="176" spans="8:9" x14ac:dyDescent="0.2">
      <c r="H176" s="113"/>
      <c r="I176" s="113"/>
    </row>
    <row r="177" spans="8:9" x14ac:dyDescent="0.2">
      <c r="H177" s="113"/>
      <c r="I177" s="113"/>
    </row>
    <row r="178" spans="8:9" x14ac:dyDescent="0.2">
      <c r="H178" s="113"/>
      <c r="I178" s="113"/>
    </row>
    <row r="179" spans="8:9" x14ac:dyDescent="0.2">
      <c r="H179" s="113"/>
      <c r="I179" s="113"/>
    </row>
    <row r="180" spans="8:9" x14ac:dyDescent="0.2">
      <c r="H180" s="113"/>
      <c r="I180" s="113"/>
    </row>
    <row r="181" spans="8:9" x14ac:dyDescent="0.2">
      <c r="H181" s="113"/>
      <c r="I181" s="113"/>
    </row>
    <row r="182" spans="8:9" x14ac:dyDescent="0.2">
      <c r="H182" s="113"/>
      <c r="I182" s="113"/>
    </row>
    <row r="183" spans="8:9" x14ac:dyDescent="0.2">
      <c r="H183" s="113"/>
      <c r="I183" s="113"/>
    </row>
    <row r="184" spans="8:9" x14ac:dyDescent="0.2">
      <c r="H184" s="113"/>
      <c r="I184" s="113"/>
    </row>
    <row r="185" spans="8:9" x14ac:dyDescent="0.2">
      <c r="H185" s="113"/>
      <c r="I185" s="113"/>
    </row>
    <row r="186" spans="8:9" x14ac:dyDescent="0.2">
      <c r="H186" s="113"/>
      <c r="I186" s="113"/>
    </row>
    <row r="187" spans="8:9" x14ac:dyDescent="0.2">
      <c r="H187" s="113"/>
      <c r="I187" s="113"/>
    </row>
    <row r="188" spans="8:9" x14ac:dyDescent="0.2">
      <c r="H188" s="113"/>
      <c r="I188" s="113"/>
    </row>
    <row r="189" spans="8:9" x14ac:dyDescent="0.2">
      <c r="H189" s="113"/>
      <c r="I189" s="113"/>
    </row>
    <row r="190" spans="8:9" x14ac:dyDescent="0.2">
      <c r="H190" s="113"/>
      <c r="I190" s="113"/>
    </row>
    <row r="191" spans="8:9" x14ac:dyDescent="0.2">
      <c r="H191" s="113"/>
      <c r="I191" s="113"/>
    </row>
    <row r="192" spans="8:9" x14ac:dyDescent="0.2">
      <c r="H192" s="113"/>
      <c r="I192" s="113"/>
    </row>
    <row r="193" spans="8:9" x14ac:dyDescent="0.2">
      <c r="H193" s="113"/>
      <c r="I193" s="113"/>
    </row>
    <row r="194" spans="8:9" x14ac:dyDescent="0.2">
      <c r="H194" s="113"/>
      <c r="I194" s="113"/>
    </row>
    <row r="195" spans="8:9" x14ac:dyDescent="0.2">
      <c r="H195" s="113"/>
      <c r="I195" s="113"/>
    </row>
    <row r="196" spans="8:9" x14ac:dyDescent="0.2">
      <c r="H196" s="113"/>
      <c r="I196" s="113"/>
    </row>
    <row r="197" spans="8:9" x14ac:dyDescent="0.2">
      <c r="H197" s="113"/>
      <c r="I197" s="113"/>
    </row>
    <row r="198" spans="8:9" x14ac:dyDescent="0.2">
      <c r="H198" s="113"/>
      <c r="I198" s="113"/>
    </row>
    <row r="199" spans="8:9" x14ac:dyDescent="0.2">
      <c r="H199" s="113"/>
      <c r="I199" s="113"/>
    </row>
    <row r="200" spans="8:9" x14ac:dyDescent="0.2">
      <c r="H200" s="113"/>
      <c r="I200" s="113"/>
    </row>
    <row r="201" spans="8:9" x14ac:dyDescent="0.2">
      <c r="H201" s="113"/>
      <c r="I201" s="113"/>
    </row>
    <row r="202" spans="8:9" x14ac:dyDescent="0.2">
      <c r="H202" s="113"/>
      <c r="I202" s="113"/>
    </row>
    <row r="203" spans="8:9" x14ac:dyDescent="0.2">
      <c r="H203" s="113"/>
      <c r="I203" s="113"/>
    </row>
    <row r="204" spans="8:9" x14ac:dyDescent="0.2">
      <c r="H204" s="113"/>
      <c r="I204" s="113"/>
    </row>
    <row r="205" spans="8:9" x14ac:dyDescent="0.2">
      <c r="H205" s="113"/>
      <c r="I205" s="113"/>
    </row>
    <row r="206" spans="8:9" x14ac:dyDescent="0.2">
      <c r="H206" s="113"/>
      <c r="I206" s="113"/>
    </row>
    <row r="207" spans="8:9" x14ac:dyDescent="0.2">
      <c r="H207" s="113"/>
      <c r="I207" s="113"/>
    </row>
    <row r="208" spans="8:9" x14ac:dyDescent="0.2">
      <c r="H208" s="113"/>
      <c r="I208" s="113"/>
    </row>
    <row r="209" spans="8:9" x14ac:dyDescent="0.2">
      <c r="H209" s="113"/>
      <c r="I209" s="113"/>
    </row>
    <row r="210" spans="8:9" x14ac:dyDescent="0.2">
      <c r="H210" s="113"/>
      <c r="I210" s="113"/>
    </row>
    <row r="211" spans="8:9" x14ac:dyDescent="0.2">
      <c r="H211" s="113"/>
      <c r="I211" s="113"/>
    </row>
    <row r="212" spans="8:9" x14ac:dyDescent="0.2">
      <c r="H212" s="113"/>
      <c r="I212" s="113"/>
    </row>
    <row r="213" spans="8:9" x14ac:dyDescent="0.2">
      <c r="H213" s="113"/>
      <c r="I213" s="113"/>
    </row>
    <row r="214" spans="8:9" x14ac:dyDescent="0.2">
      <c r="H214" s="113"/>
      <c r="I214" s="113"/>
    </row>
    <row r="215" spans="8:9" x14ac:dyDescent="0.2">
      <c r="H215" s="113"/>
      <c r="I215" s="113"/>
    </row>
    <row r="216" spans="8:9" x14ac:dyDescent="0.2">
      <c r="H216" s="113"/>
      <c r="I216" s="113"/>
    </row>
    <row r="217" spans="8:9" x14ac:dyDescent="0.2">
      <c r="H217" s="113"/>
      <c r="I217" s="113"/>
    </row>
    <row r="218" spans="8:9" x14ac:dyDescent="0.2">
      <c r="H218" s="113"/>
      <c r="I218" s="113"/>
    </row>
    <row r="219" spans="8:9" x14ac:dyDescent="0.2">
      <c r="H219" s="113"/>
      <c r="I219" s="113"/>
    </row>
    <row r="220" spans="8:9" x14ac:dyDescent="0.2">
      <c r="H220" s="113"/>
      <c r="I220" s="113"/>
    </row>
    <row r="221" spans="8:9" x14ac:dyDescent="0.2">
      <c r="H221" s="113"/>
      <c r="I221" s="113"/>
    </row>
    <row r="222" spans="8:9" x14ac:dyDescent="0.2">
      <c r="H222" s="113"/>
      <c r="I222" s="113"/>
    </row>
    <row r="223" spans="8:9" x14ac:dyDescent="0.2">
      <c r="H223" s="113"/>
      <c r="I223" s="113"/>
    </row>
    <row r="224" spans="8:9" x14ac:dyDescent="0.2">
      <c r="H224" s="113"/>
      <c r="I224" s="113"/>
    </row>
    <row r="225" spans="8:9" x14ac:dyDescent="0.2">
      <c r="H225" s="113"/>
      <c r="I225" s="113"/>
    </row>
    <row r="226" spans="8:9" x14ac:dyDescent="0.2">
      <c r="H226" s="113"/>
      <c r="I226" s="113"/>
    </row>
    <row r="227" spans="8:9" x14ac:dyDescent="0.2">
      <c r="H227" s="113"/>
      <c r="I227" s="113"/>
    </row>
    <row r="228" spans="8:9" x14ac:dyDescent="0.2">
      <c r="H228" s="113"/>
      <c r="I228" s="113"/>
    </row>
    <row r="229" spans="8:9" x14ac:dyDescent="0.2">
      <c r="H229" s="113"/>
      <c r="I229" s="113"/>
    </row>
    <row r="230" spans="8:9" x14ac:dyDescent="0.2">
      <c r="H230" s="113"/>
      <c r="I230" s="113"/>
    </row>
    <row r="231" spans="8:9" x14ac:dyDescent="0.2">
      <c r="H231" s="113"/>
      <c r="I231" s="113"/>
    </row>
    <row r="232" spans="8:9" x14ac:dyDescent="0.2">
      <c r="H232" s="113"/>
      <c r="I232" s="113"/>
    </row>
    <row r="233" spans="8:9" x14ac:dyDescent="0.2">
      <c r="H233" s="113"/>
      <c r="I233" s="113"/>
    </row>
    <row r="234" spans="8:9" x14ac:dyDescent="0.2">
      <c r="H234" s="113"/>
      <c r="I234" s="113"/>
    </row>
    <row r="235" spans="8:9" x14ac:dyDescent="0.2">
      <c r="H235" s="113"/>
      <c r="I235" s="113"/>
    </row>
    <row r="236" spans="8:9" x14ac:dyDescent="0.2">
      <c r="H236" s="113"/>
      <c r="I236" s="113"/>
    </row>
    <row r="237" spans="8:9" x14ac:dyDescent="0.2">
      <c r="H237" s="113"/>
      <c r="I237" s="113"/>
    </row>
    <row r="238" spans="8:9" x14ac:dyDescent="0.2">
      <c r="H238" s="113"/>
      <c r="I238" s="113"/>
    </row>
    <row r="239" spans="8:9" x14ac:dyDescent="0.2">
      <c r="H239" s="113"/>
      <c r="I239" s="113"/>
    </row>
    <row r="240" spans="8:9" x14ac:dyDescent="0.2">
      <c r="H240" s="113"/>
      <c r="I240" s="113"/>
    </row>
    <row r="241" spans="8:9" x14ac:dyDescent="0.2">
      <c r="H241" s="113"/>
      <c r="I241" s="113"/>
    </row>
    <row r="242" spans="8:9" x14ac:dyDescent="0.2">
      <c r="H242" s="113"/>
      <c r="I242" s="113"/>
    </row>
    <row r="243" spans="8:9" x14ac:dyDescent="0.2">
      <c r="H243" s="113"/>
      <c r="I243" s="113"/>
    </row>
    <row r="244" spans="8:9" x14ac:dyDescent="0.2">
      <c r="H244" s="113"/>
      <c r="I244" s="113"/>
    </row>
    <row r="245" spans="8:9" x14ac:dyDescent="0.2">
      <c r="H245" s="113"/>
      <c r="I245" s="113"/>
    </row>
    <row r="246" spans="8:9" x14ac:dyDescent="0.2">
      <c r="H246" s="113"/>
      <c r="I246" s="113"/>
    </row>
    <row r="247" spans="8:9" x14ac:dyDescent="0.2">
      <c r="H247" s="113"/>
      <c r="I247" s="113"/>
    </row>
    <row r="248" spans="8:9" x14ac:dyDescent="0.2">
      <c r="H248" s="113"/>
      <c r="I248" s="113"/>
    </row>
    <row r="249" spans="8:9" x14ac:dyDescent="0.2">
      <c r="H249" s="113"/>
      <c r="I249" s="113"/>
    </row>
    <row r="250" spans="8:9" x14ac:dyDescent="0.2">
      <c r="H250" s="113"/>
      <c r="I250" s="113"/>
    </row>
    <row r="251" spans="8:9" x14ac:dyDescent="0.2">
      <c r="H251" s="113"/>
      <c r="I251" s="113"/>
    </row>
    <row r="252" spans="8:9" x14ac:dyDescent="0.2">
      <c r="H252" s="113"/>
      <c r="I252" s="113"/>
    </row>
    <row r="253" spans="8:9" x14ac:dyDescent="0.2">
      <c r="H253" s="113"/>
      <c r="I253" s="113"/>
    </row>
    <row r="254" spans="8:9" x14ac:dyDescent="0.2">
      <c r="H254" s="113"/>
      <c r="I254" s="113"/>
    </row>
    <row r="255" spans="8:9" x14ac:dyDescent="0.2">
      <c r="H255" s="113"/>
      <c r="I255" s="113"/>
    </row>
    <row r="256" spans="8:9" x14ac:dyDescent="0.2">
      <c r="H256" s="113"/>
      <c r="I256" s="113"/>
    </row>
    <row r="257" spans="8:9" x14ac:dyDescent="0.2">
      <c r="H257" s="113"/>
      <c r="I257" s="113"/>
    </row>
    <row r="258" spans="8:9" x14ac:dyDescent="0.2">
      <c r="H258" s="113"/>
      <c r="I258" s="113"/>
    </row>
    <row r="259" spans="8:9" x14ac:dyDescent="0.2">
      <c r="H259" s="113"/>
      <c r="I259" s="113"/>
    </row>
    <row r="260" spans="8:9" x14ac:dyDescent="0.2">
      <c r="H260" s="113"/>
      <c r="I260" s="113"/>
    </row>
    <row r="261" spans="8:9" x14ac:dyDescent="0.2">
      <c r="H261" s="113"/>
      <c r="I261" s="113"/>
    </row>
    <row r="262" spans="8:9" x14ac:dyDescent="0.2">
      <c r="H262" s="113"/>
      <c r="I262" s="113"/>
    </row>
    <row r="263" spans="8:9" x14ac:dyDescent="0.2">
      <c r="H263" s="113"/>
      <c r="I263" s="113"/>
    </row>
    <row r="264" spans="8:9" x14ac:dyDescent="0.2">
      <c r="H264" s="113"/>
      <c r="I264" s="113"/>
    </row>
    <row r="265" spans="8:9" x14ac:dyDescent="0.2">
      <c r="H265" s="113"/>
      <c r="I265" s="113"/>
    </row>
    <row r="266" spans="8:9" x14ac:dyDescent="0.2">
      <c r="H266" s="113"/>
      <c r="I266" s="113"/>
    </row>
    <row r="267" spans="8:9" x14ac:dyDescent="0.2">
      <c r="H267" s="113"/>
      <c r="I267" s="113"/>
    </row>
    <row r="268" spans="8:9" x14ac:dyDescent="0.2">
      <c r="H268" s="113"/>
      <c r="I268" s="113"/>
    </row>
    <row r="269" spans="8:9" x14ac:dyDescent="0.2">
      <c r="H269" s="113"/>
      <c r="I269" s="113"/>
    </row>
    <row r="270" spans="8:9" x14ac:dyDescent="0.2">
      <c r="H270" s="113"/>
      <c r="I270" s="113"/>
    </row>
    <row r="271" spans="8:9" x14ac:dyDescent="0.2">
      <c r="H271" s="113"/>
      <c r="I271" s="113"/>
    </row>
    <row r="272" spans="8:9" x14ac:dyDescent="0.2">
      <c r="H272" s="113"/>
      <c r="I272" s="113"/>
    </row>
    <row r="273" spans="8:9" x14ac:dyDescent="0.2">
      <c r="H273" s="113"/>
      <c r="I273" s="113"/>
    </row>
    <row r="274" spans="8:9" x14ac:dyDescent="0.2">
      <c r="H274" s="113"/>
      <c r="I274" s="113"/>
    </row>
    <row r="275" spans="8:9" x14ac:dyDescent="0.2">
      <c r="H275" s="113"/>
      <c r="I275" s="113"/>
    </row>
    <row r="276" spans="8:9" x14ac:dyDescent="0.2">
      <c r="H276" s="113"/>
      <c r="I276" s="113"/>
    </row>
    <row r="277" spans="8:9" x14ac:dyDescent="0.2">
      <c r="H277" s="113"/>
      <c r="I277" s="113"/>
    </row>
    <row r="278" spans="8:9" x14ac:dyDescent="0.2">
      <c r="H278" s="113"/>
      <c r="I278" s="113"/>
    </row>
    <row r="279" spans="8:9" x14ac:dyDescent="0.2">
      <c r="H279" s="113"/>
      <c r="I279" s="113"/>
    </row>
    <row r="280" spans="8:9" x14ac:dyDescent="0.2">
      <c r="H280" s="113"/>
      <c r="I280" s="113"/>
    </row>
    <row r="281" spans="8:9" x14ac:dyDescent="0.2">
      <c r="H281" s="113"/>
      <c r="I281" s="113"/>
    </row>
    <row r="282" spans="8:9" x14ac:dyDescent="0.2">
      <c r="H282" s="113"/>
      <c r="I282" s="113"/>
    </row>
    <row r="283" spans="8:9" x14ac:dyDescent="0.2">
      <c r="H283" s="113"/>
      <c r="I283" s="113"/>
    </row>
    <row r="284" spans="8:9" x14ac:dyDescent="0.2">
      <c r="H284" s="113"/>
      <c r="I284" s="113"/>
    </row>
    <row r="285" spans="8:9" x14ac:dyDescent="0.2">
      <c r="H285" s="113"/>
      <c r="I285" s="113"/>
    </row>
    <row r="286" spans="8:9" x14ac:dyDescent="0.2">
      <c r="H286" s="113"/>
      <c r="I286" s="113"/>
    </row>
    <row r="287" spans="8:9" x14ac:dyDescent="0.2">
      <c r="H287" s="113"/>
      <c r="I287" s="113"/>
    </row>
    <row r="288" spans="8:9" x14ac:dyDescent="0.2">
      <c r="H288" s="113"/>
      <c r="I288" s="113"/>
    </row>
    <row r="289" spans="8:9" x14ac:dyDescent="0.2">
      <c r="H289" s="113"/>
      <c r="I289" s="113"/>
    </row>
    <row r="290" spans="8:9" x14ac:dyDescent="0.2">
      <c r="H290" s="113"/>
      <c r="I290" s="113"/>
    </row>
    <row r="291" spans="8:9" x14ac:dyDescent="0.2">
      <c r="H291" s="113"/>
      <c r="I291" s="113"/>
    </row>
    <row r="292" spans="8:9" x14ac:dyDescent="0.2">
      <c r="H292" s="113"/>
      <c r="I292" s="113"/>
    </row>
    <row r="293" spans="8:9" x14ac:dyDescent="0.2">
      <c r="H293" s="113"/>
      <c r="I293" s="113"/>
    </row>
    <row r="294" spans="8:9" x14ac:dyDescent="0.2">
      <c r="H294" s="113"/>
      <c r="I294" s="113"/>
    </row>
    <row r="295" spans="8:9" x14ac:dyDescent="0.2">
      <c r="H295" s="113"/>
      <c r="I295" s="113"/>
    </row>
    <row r="296" spans="8:9" x14ac:dyDescent="0.2">
      <c r="H296" s="113"/>
      <c r="I296" s="113"/>
    </row>
    <row r="297" spans="8:9" x14ac:dyDescent="0.2">
      <c r="H297" s="113"/>
      <c r="I297" s="113"/>
    </row>
    <row r="298" spans="8:9" x14ac:dyDescent="0.2">
      <c r="H298" s="113"/>
      <c r="I298" s="113"/>
    </row>
    <row r="299" spans="8:9" x14ac:dyDescent="0.2">
      <c r="H299" s="113"/>
      <c r="I299" s="113"/>
    </row>
    <row r="300" spans="8:9" x14ac:dyDescent="0.2">
      <c r="H300" s="113"/>
      <c r="I300" s="113"/>
    </row>
    <row r="301" spans="8:9" x14ac:dyDescent="0.2">
      <c r="H301" s="113"/>
      <c r="I301" s="113"/>
    </row>
    <row r="302" spans="8:9" x14ac:dyDescent="0.2">
      <c r="H302" s="113"/>
      <c r="I302" s="113"/>
    </row>
    <row r="303" spans="8:9" x14ac:dyDescent="0.2">
      <c r="H303" s="113"/>
      <c r="I303" s="113"/>
    </row>
    <row r="304" spans="8:9" x14ac:dyDescent="0.2">
      <c r="H304" s="113"/>
      <c r="I304" s="113"/>
    </row>
    <row r="305" spans="8:9" x14ac:dyDescent="0.2">
      <c r="H305" s="113"/>
      <c r="I305" s="113"/>
    </row>
    <row r="306" spans="8:9" x14ac:dyDescent="0.2">
      <c r="H306" s="113"/>
      <c r="I306" s="113"/>
    </row>
    <row r="307" spans="8:9" x14ac:dyDescent="0.2">
      <c r="H307" s="113"/>
      <c r="I307" s="113"/>
    </row>
    <row r="308" spans="8:9" x14ac:dyDescent="0.2">
      <c r="H308" s="113"/>
      <c r="I308" s="113"/>
    </row>
    <row r="309" spans="8:9" x14ac:dyDescent="0.2">
      <c r="H309" s="113"/>
      <c r="I309" s="113"/>
    </row>
    <row r="310" spans="8:9" x14ac:dyDescent="0.2">
      <c r="H310" s="113"/>
      <c r="I310" s="113"/>
    </row>
    <row r="311" spans="8:9" x14ac:dyDescent="0.2">
      <c r="H311" s="113"/>
      <c r="I311" s="113"/>
    </row>
    <row r="312" spans="8:9" x14ac:dyDescent="0.2">
      <c r="H312" s="113"/>
      <c r="I312" s="113"/>
    </row>
    <row r="313" spans="8:9" x14ac:dyDescent="0.2">
      <c r="H313" s="113"/>
      <c r="I313" s="113"/>
    </row>
    <row r="314" spans="8:9" x14ac:dyDescent="0.2">
      <c r="H314" s="113"/>
      <c r="I314" s="113"/>
    </row>
    <row r="315" spans="8:9" x14ac:dyDescent="0.2">
      <c r="H315" s="113"/>
      <c r="I315" s="113"/>
    </row>
    <row r="316" spans="8:9" x14ac:dyDescent="0.2">
      <c r="H316" s="113"/>
      <c r="I316" s="113"/>
    </row>
    <row r="317" spans="8:9" x14ac:dyDescent="0.2">
      <c r="H317" s="113"/>
      <c r="I317" s="113"/>
    </row>
    <row r="318" spans="8:9" x14ac:dyDescent="0.2">
      <c r="H318" s="113"/>
      <c r="I318" s="113"/>
    </row>
    <row r="319" spans="8:9" x14ac:dyDescent="0.2">
      <c r="H319" s="113"/>
      <c r="I319" s="113"/>
    </row>
    <row r="320" spans="8:9" x14ac:dyDescent="0.2">
      <c r="H320" s="113"/>
      <c r="I320" s="113"/>
    </row>
    <row r="321" spans="8:9" x14ac:dyDescent="0.2">
      <c r="H321" s="113"/>
      <c r="I321" s="113"/>
    </row>
    <row r="322" spans="8:9" x14ac:dyDescent="0.2">
      <c r="H322" s="113"/>
      <c r="I322" s="113"/>
    </row>
    <row r="323" spans="8:9" x14ac:dyDescent="0.2">
      <c r="H323" s="113"/>
      <c r="I323" s="113"/>
    </row>
    <row r="324" spans="8:9" x14ac:dyDescent="0.2">
      <c r="H324" s="113"/>
      <c r="I324" s="113"/>
    </row>
    <row r="325" spans="8:9" x14ac:dyDescent="0.2">
      <c r="H325" s="113"/>
      <c r="I325" s="113"/>
    </row>
    <row r="326" spans="8:9" x14ac:dyDescent="0.2">
      <c r="H326" s="113"/>
      <c r="I326" s="113"/>
    </row>
    <row r="327" spans="8:9" x14ac:dyDescent="0.2">
      <c r="H327" s="113"/>
      <c r="I327" s="113"/>
    </row>
    <row r="328" spans="8:9" x14ac:dyDescent="0.2">
      <c r="H328" s="113"/>
      <c r="I328" s="113"/>
    </row>
    <row r="329" spans="8:9" x14ac:dyDescent="0.2">
      <c r="H329" s="113"/>
      <c r="I329" s="113"/>
    </row>
    <row r="330" spans="8:9" x14ac:dyDescent="0.2">
      <c r="H330" s="113"/>
      <c r="I330" s="113"/>
    </row>
    <row r="331" spans="8:9" x14ac:dyDescent="0.2">
      <c r="H331" s="113"/>
      <c r="I331" s="113"/>
    </row>
    <row r="332" spans="8:9" x14ac:dyDescent="0.2">
      <c r="H332" s="113"/>
      <c r="I332" s="113"/>
    </row>
    <row r="333" spans="8:9" x14ac:dyDescent="0.2">
      <c r="H333" s="113"/>
      <c r="I333" s="113"/>
    </row>
    <row r="334" spans="8:9" x14ac:dyDescent="0.2">
      <c r="H334" s="113"/>
      <c r="I334" s="113"/>
    </row>
    <row r="335" spans="8:9" x14ac:dyDescent="0.2">
      <c r="H335" s="113"/>
      <c r="I335" s="113"/>
    </row>
    <row r="336" spans="8:9" x14ac:dyDescent="0.2">
      <c r="H336" s="113"/>
      <c r="I336" s="113"/>
    </row>
    <row r="337" spans="8:9" x14ac:dyDescent="0.2">
      <c r="H337" s="113"/>
      <c r="I337" s="113"/>
    </row>
    <row r="338" spans="8:9" x14ac:dyDescent="0.2">
      <c r="H338" s="113"/>
      <c r="I338" s="113"/>
    </row>
    <row r="339" spans="8:9" x14ac:dyDescent="0.2">
      <c r="H339" s="113"/>
      <c r="I339" s="113"/>
    </row>
    <row r="340" spans="8:9" x14ac:dyDescent="0.2">
      <c r="H340" s="113"/>
      <c r="I340" s="113"/>
    </row>
    <row r="341" spans="8:9" x14ac:dyDescent="0.2">
      <c r="H341" s="113"/>
      <c r="I341" s="113"/>
    </row>
    <row r="342" spans="8:9" x14ac:dyDescent="0.2">
      <c r="H342" s="113"/>
      <c r="I342" s="113"/>
    </row>
    <row r="343" spans="8:9" x14ac:dyDescent="0.2">
      <c r="H343" s="113"/>
      <c r="I343" s="113"/>
    </row>
    <row r="344" spans="8:9" x14ac:dyDescent="0.2">
      <c r="H344" s="113"/>
      <c r="I344" s="113"/>
    </row>
    <row r="345" spans="8:9" x14ac:dyDescent="0.2">
      <c r="H345" s="113"/>
      <c r="I345" s="113"/>
    </row>
    <row r="346" spans="8:9" x14ac:dyDescent="0.2">
      <c r="H346" s="113"/>
      <c r="I346" s="113"/>
    </row>
    <row r="347" spans="8:9" x14ac:dyDescent="0.2">
      <c r="H347" s="113"/>
      <c r="I347" s="113"/>
    </row>
    <row r="348" spans="8:9" x14ac:dyDescent="0.2">
      <c r="H348" s="113"/>
      <c r="I348" s="113"/>
    </row>
    <row r="349" spans="8:9" x14ac:dyDescent="0.2">
      <c r="H349" s="113"/>
      <c r="I349" s="113"/>
    </row>
    <row r="350" spans="8:9" x14ac:dyDescent="0.2">
      <c r="H350" s="113"/>
      <c r="I350" s="113"/>
    </row>
    <row r="351" spans="8:9" x14ac:dyDescent="0.2">
      <c r="H351" s="113"/>
      <c r="I351" s="113"/>
    </row>
    <row r="352" spans="8:9" x14ac:dyDescent="0.2">
      <c r="H352" s="113"/>
      <c r="I352" s="113"/>
    </row>
    <row r="353" spans="8:9" x14ac:dyDescent="0.2">
      <c r="H353" s="113"/>
      <c r="I353" s="113"/>
    </row>
    <row r="354" spans="8:9" x14ac:dyDescent="0.2">
      <c r="H354" s="113"/>
      <c r="I354" s="113"/>
    </row>
    <row r="355" spans="8:9" x14ac:dyDescent="0.2">
      <c r="H355" s="113"/>
      <c r="I355" s="113"/>
    </row>
    <row r="356" spans="8:9" x14ac:dyDescent="0.2">
      <c r="H356" s="113"/>
      <c r="I356" s="113"/>
    </row>
    <row r="357" spans="8:9" x14ac:dyDescent="0.2">
      <c r="H357" s="113"/>
      <c r="I357" s="113"/>
    </row>
    <row r="358" spans="8:9" x14ac:dyDescent="0.2">
      <c r="H358" s="113"/>
      <c r="I358" s="113"/>
    </row>
    <row r="359" spans="8:9" x14ac:dyDescent="0.2">
      <c r="H359" s="113"/>
      <c r="I359" s="113"/>
    </row>
    <row r="360" spans="8:9" x14ac:dyDescent="0.2">
      <c r="H360" s="113"/>
      <c r="I360" s="113"/>
    </row>
    <row r="361" spans="8:9" x14ac:dyDescent="0.2">
      <c r="H361" s="113"/>
      <c r="I361" s="113"/>
    </row>
    <row r="362" spans="8:9" x14ac:dyDescent="0.2">
      <c r="H362" s="113"/>
      <c r="I362" s="113"/>
    </row>
    <row r="363" spans="8:9" x14ac:dyDescent="0.2">
      <c r="H363" s="113"/>
      <c r="I363" s="113"/>
    </row>
    <row r="364" spans="8:9" x14ac:dyDescent="0.2">
      <c r="H364" s="113"/>
      <c r="I364" s="113"/>
    </row>
    <row r="365" spans="8:9" x14ac:dyDescent="0.2">
      <c r="H365" s="113"/>
      <c r="I365" s="113"/>
    </row>
    <row r="366" spans="8:9" x14ac:dyDescent="0.2">
      <c r="H366" s="113"/>
      <c r="I366" s="113"/>
    </row>
    <row r="367" spans="8:9" x14ac:dyDescent="0.2">
      <c r="H367" s="113"/>
      <c r="I367" s="113"/>
    </row>
    <row r="368" spans="8:9" x14ac:dyDescent="0.2">
      <c r="H368" s="113"/>
      <c r="I368" s="113"/>
    </row>
    <row r="369" spans="8:9" x14ac:dyDescent="0.2">
      <c r="H369" s="113"/>
      <c r="I369" s="113"/>
    </row>
    <row r="370" spans="8:9" x14ac:dyDescent="0.2">
      <c r="H370" s="113"/>
      <c r="I370" s="113"/>
    </row>
    <row r="371" spans="8:9" x14ac:dyDescent="0.2">
      <c r="H371" s="113"/>
      <c r="I371" s="113"/>
    </row>
    <row r="372" spans="8:9" x14ac:dyDescent="0.2">
      <c r="H372" s="113"/>
      <c r="I372" s="113"/>
    </row>
    <row r="373" spans="8:9" x14ac:dyDescent="0.2">
      <c r="H373" s="113"/>
      <c r="I373" s="113"/>
    </row>
    <row r="374" spans="8:9" x14ac:dyDescent="0.2">
      <c r="H374" s="113"/>
      <c r="I374" s="113"/>
    </row>
    <row r="375" spans="8:9" x14ac:dyDescent="0.2">
      <c r="H375" s="113"/>
      <c r="I375" s="113"/>
    </row>
    <row r="376" spans="8:9" x14ac:dyDescent="0.2">
      <c r="H376" s="113"/>
      <c r="I376" s="113"/>
    </row>
    <row r="377" spans="8:9" x14ac:dyDescent="0.2">
      <c r="H377" s="113"/>
      <c r="I377" s="113"/>
    </row>
    <row r="378" spans="8:9" x14ac:dyDescent="0.2">
      <c r="H378" s="113"/>
      <c r="I378" s="113"/>
    </row>
    <row r="379" spans="8:9" x14ac:dyDescent="0.2">
      <c r="H379" s="113"/>
      <c r="I379" s="113"/>
    </row>
    <row r="380" spans="8:9" x14ac:dyDescent="0.2">
      <c r="H380" s="113"/>
      <c r="I380" s="113"/>
    </row>
    <row r="381" spans="8:9" x14ac:dyDescent="0.2">
      <c r="H381" s="113"/>
      <c r="I381" s="113"/>
    </row>
    <row r="382" spans="8:9" x14ac:dyDescent="0.2">
      <c r="H382" s="113"/>
      <c r="I382" s="113"/>
    </row>
    <row r="383" spans="8:9" x14ac:dyDescent="0.2">
      <c r="H383" s="113"/>
      <c r="I383" s="113"/>
    </row>
    <row r="384" spans="8:9" x14ac:dyDescent="0.2">
      <c r="H384" s="113"/>
      <c r="I384" s="113"/>
    </row>
    <row r="385" spans="8:9" x14ac:dyDescent="0.2">
      <c r="H385" s="113"/>
      <c r="I385" s="113"/>
    </row>
    <row r="386" spans="8:9" x14ac:dyDescent="0.2">
      <c r="H386" s="113"/>
      <c r="I386" s="113"/>
    </row>
    <row r="387" spans="8:9" x14ac:dyDescent="0.2">
      <c r="H387" s="113"/>
      <c r="I387" s="113"/>
    </row>
    <row r="388" spans="8:9" x14ac:dyDescent="0.2">
      <c r="H388" s="113"/>
      <c r="I388" s="113"/>
    </row>
    <row r="389" spans="8:9" x14ac:dyDescent="0.2">
      <c r="H389" s="113"/>
      <c r="I389" s="113"/>
    </row>
    <row r="390" spans="8:9" x14ac:dyDescent="0.2">
      <c r="H390" s="113"/>
      <c r="I390" s="113"/>
    </row>
    <row r="391" spans="8:9" x14ac:dyDescent="0.2">
      <c r="H391" s="113"/>
      <c r="I391" s="113"/>
    </row>
    <row r="392" spans="8:9" x14ac:dyDescent="0.2">
      <c r="H392" s="113"/>
      <c r="I392" s="113"/>
    </row>
    <row r="393" spans="8:9" x14ac:dyDescent="0.2">
      <c r="H393" s="113"/>
      <c r="I393" s="113"/>
    </row>
    <row r="394" spans="8:9" x14ac:dyDescent="0.2">
      <c r="H394" s="113"/>
      <c r="I394" s="113"/>
    </row>
    <row r="395" spans="8:9" x14ac:dyDescent="0.2">
      <c r="H395" s="113"/>
      <c r="I395" s="113"/>
    </row>
    <row r="396" spans="8:9" x14ac:dyDescent="0.2">
      <c r="H396" s="113"/>
      <c r="I396" s="113"/>
    </row>
    <row r="397" spans="8:9" x14ac:dyDescent="0.2">
      <c r="H397" s="113"/>
      <c r="I397" s="113"/>
    </row>
    <row r="398" spans="8:9" x14ac:dyDescent="0.2">
      <c r="H398" s="113"/>
      <c r="I398" s="113"/>
    </row>
    <row r="399" spans="8:9" x14ac:dyDescent="0.2">
      <c r="H399" s="113"/>
      <c r="I399" s="113"/>
    </row>
    <row r="400" spans="8:9" x14ac:dyDescent="0.2">
      <c r="H400" s="113"/>
      <c r="I400" s="113"/>
    </row>
    <row r="401" spans="8:9" x14ac:dyDescent="0.2">
      <c r="H401" s="113"/>
      <c r="I401" s="113"/>
    </row>
    <row r="402" spans="8:9" x14ac:dyDescent="0.2">
      <c r="H402" s="113"/>
      <c r="I402" s="113"/>
    </row>
    <row r="403" spans="8:9" x14ac:dyDescent="0.2">
      <c r="H403" s="113"/>
      <c r="I403" s="113"/>
    </row>
    <row r="404" spans="8:9" x14ac:dyDescent="0.2">
      <c r="H404" s="113"/>
      <c r="I404" s="113"/>
    </row>
    <row r="405" spans="8:9" x14ac:dyDescent="0.2">
      <c r="H405" s="113"/>
      <c r="I405" s="113"/>
    </row>
    <row r="406" spans="8:9" x14ac:dyDescent="0.2">
      <c r="H406" s="113"/>
      <c r="I406" s="113"/>
    </row>
    <row r="407" spans="8:9" x14ac:dyDescent="0.2">
      <c r="H407" s="113"/>
      <c r="I407" s="113"/>
    </row>
    <row r="408" spans="8:9" x14ac:dyDescent="0.2">
      <c r="H408" s="113"/>
      <c r="I408" s="113"/>
    </row>
    <row r="409" spans="8:9" x14ac:dyDescent="0.2">
      <c r="H409" s="113"/>
      <c r="I409" s="113"/>
    </row>
    <row r="410" spans="8:9" x14ac:dyDescent="0.2">
      <c r="H410" s="113"/>
      <c r="I410" s="113"/>
    </row>
    <row r="411" spans="8:9" x14ac:dyDescent="0.2">
      <c r="H411" s="113"/>
      <c r="I411" s="113"/>
    </row>
    <row r="412" spans="8:9" x14ac:dyDescent="0.2">
      <c r="H412" s="113"/>
      <c r="I412" s="113"/>
    </row>
    <row r="413" spans="8:9" x14ac:dyDescent="0.2">
      <c r="H413" s="113"/>
      <c r="I413" s="113"/>
    </row>
    <row r="414" spans="8:9" x14ac:dyDescent="0.2">
      <c r="H414" s="113"/>
      <c r="I414" s="113"/>
    </row>
    <row r="415" spans="8:9" x14ac:dyDescent="0.2">
      <c r="H415" s="113"/>
      <c r="I415" s="113"/>
    </row>
    <row r="416" spans="8:9" x14ac:dyDescent="0.2">
      <c r="H416" s="113"/>
      <c r="I416" s="113"/>
    </row>
    <row r="417" spans="8:9" x14ac:dyDescent="0.2">
      <c r="H417" s="113"/>
      <c r="I417" s="113"/>
    </row>
    <row r="418" spans="8:9" x14ac:dyDescent="0.2">
      <c r="H418" s="113"/>
      <c r="I418" s="113"/>
    </row>
    <row r="419" spans="8:9" x14ac:dyDescent="0.2">
      <c r="H419" s="113"/>
      <c r="I419" s="113"/>
    </row>
    <row r="420" spans="8:9" x14ac:dyDescent="0.2">
      <c r="H420" s="113"/>
      <c r="I420" s="113"/>
    </row>
    <row r="421" spans="8:9" x14ac:dyDescent="0.2">
      <c r="H421" s="113"/>
      <c r="I421" s="113"/>
    </row>
    <row r="422" spans="8:9" x14ac:dyDescent="0.2">
      <c r="H422" s="113"/>
      <c r="I422" s="113"/>
    </row>
    <row r="423" spans="8:9" x14ac:dyDescent="0.2">
      <c r="H423" s="113"/>
      <c r="I423" s="113"/>
    </row>
    <row r="424" spans="8:9" x14ac:dyDescent="0.2">
      <c r="H424" s="113"/>
      <c r="I424" s="113"/>
    </row>
    <row r="425" spans="8:9" x14ac:dyDescent="0.2">
      <c r="H425" s="113"/>
      <c r="I425" s="113"/>
    </row>
    <row r="426" spans="8:9" x14ac:dyDescent="0.2">
      <c r="H426" s="113"/>
      <c r="I426" s="113"/>
    </row>
    <row r="427" spans="8:9" x14ac:dyDescent="0.2">
      <c r="H427" s="113"/>
      <c r="I427" s="113"/>
    </row>
    <row r="428" spans="8:9" x14ac:dyDescent="0.2">
      <c r="H428" s="113"/>
      <c r="I428" s="113"/>
    </row>
    <row r="429" spans="8:9" x14ac:dyDescent="0.2">
      <c r="H429" s="113"/>
      <c r="I429" s="113"/>
    </row>
    <row r="430" spans="8:9" x14ac:dyDescent="0.2">
      <c r="H430" s="113"/>
      <c r="I430" s="113"/>
    </row>
    <row r="431" spans="8:9" x14ac:dyDescent="0.2">
      <c r="H431" s="113"/>
      <c r="I431" s="113"/>
    </row>
    <row r="432" spans="8:9" x14ac:dyDescent="0.2">
      <c r="H432" s="113"/>
      <c r="I432" s="113"/>
    </row>
    <row r="433" spans="8:9" x14ac:dyDescent="0.2">
      <c r="H433" s="113"/>
      <c r="I433" s="113"/>
    </row>
    <row r="434" spans="8:9" x14ac:dyDescent="0.2">
      <c r="H434" s="113"/>
      <c r="I434" s="113"/>
    </row>
    <row r="435" spans="8:9" x14ac:dyDescent="0.2">
      <c r="H435" s="113"/>
      <c r="I435" s="113"/>
    </row>
    <row r="436" spans="8:9" x14ac:dyDescent="0.2">
      <c r="H436" s="113"/>
      <c r="I436" s="113"/>
    </row>
    <row r="437" spans="8:9" x14ac:dyDescent="0.2">
      <c r="H437" s="113"/>
      <c r="I437" s="113"/>
    </row>
    <row r="438" spans="8:9" x14ac:dyDescent="0.2">
      <c r="H438" s="113"/>
      <c r="I438" s="113"/>
    </row>
    <row r="439" spans="8:9" x14ac:dyDescent="0.2">
      <c r="H439" s="113"/>
      <c r="I439" s="113"/>
    </row>
    <row r="440" spans="8:9" x14ac:dyDescent="0.2">
      <c r="H440" s="113"/>
      <c r="I440" s="113"/>
    </row>
    <row r="441" spans="8:9" x14ac:dyDescent="0.2">
      <c r="H441" s="113"/>
      <c r="I441" s="113"/>
    </row>
    <row r="442" spans="8:9" x14ac:dyDescent="0.2">
      <c r="H442" s="113"/>
      <c r="I442" s="113"/>
    </row>
    <row r="443" spans="8:9" x14ac:dyDescent="0.2">
      <c r="H443" s="113"/>
      <c r="I443" s="113"/>
    </row>
    <row r="444" spans="8:9" x14ac:dyDescent="0.2">
      <c r="H444" s="113"/>
      <c r="I444" s="113"/>
    </row>
    <row r="445" spans="8:9" x14ac:dyDescent="0.2">
      <c r="H445" s="113"/>
      <c r="I445" s="113"/>
    </row>
    <row r="446" spans="8:9" x14ac:dyDescent="0.2">
      <c r="H446" s="113"/>
      <c r="I446" s="113"/>
    </row>
    <row r="447" spans="8:9" x14ac:dyDescent="0.2">
      <c r="H447" s="113"/>
      <c r="I447" s="113"/>
    </row>
    <row r="448" spans="8:9" x14ac:dyDescent="0.2">
      <c r="H448" s="113"/>
      <c r="I448" s="113"/>
    </row>
    <row r="449" spans="8:9" x14ac:dyDescent="0.2">
      <c r="H449" s="113"/>
      <c r="I449" s="113"/>
    </row>
    <row r="450" spans="8:9" x14ac:dyDescent="0.2">
      <c r="H450" s="113"/>
      <c r="I450" s="113"/>
    </row>
    <row r="451" spans="8:9" x14ac:dyDescent="0.2">
      <c r="H451" s="113"/>
      <c r="I451" s="113"/>
    </row>
    <row r="452" spans="8:9" x14ac:dyDescent="0.2">
      <c r="H452" s="113"/>
      <c r="I452" s="113"/>
    </row>
    <row r="453" spans="8:9" x14ac:dyDescent="0.2">
      <c r="H453" s="113"/>
      <c r="I453" s="113"/>
    </row>
    <row r="454" spans="8:9" x14ac:dyDescent="0.2">
      <c r="H454" s="113"/>
      <c r="I454" s="113"/>
    </row>
    <row r="455" spans="8:9" x14ac:dyDescent="0.2">
      <c r="H455" s="113"/>
      <c r="I455" s="113"/>
    </row>
    <row r="456" spans="8:9" x14ac:dyDescent="0.2">
      <c r="H456" s="113"/>
      <c r="I456" s="113"/>
    </row>
    <row r="457" spans="8:9" x14ac:dyDescent="0.2">
      <c r="H457" s="113"/>
      <c r="I457" s="113"/>
    </row>
    <row r="458" spans="8:9" x14ac:dyDescent="0.2">
      <c r="H458" s="113"/>
      <c r="I458" s="113"/>
    </row>
    <row r="459" spans="8:9" x14ac:dyDescent="0.2">
      <c r="H459" s="113"/>
      <c r="I459" s="113"/>
    </row>
    <row r="460" spans="8:9" x14ac:dyDescent="0.2">
      <c r="H460" s="113"/>
      <c r="I460" s="113"/>
    </row>
    <row r="461" spans="8:9" x14ac:dyDescent="0.2">
      <c r="H461" s="113"/>
      <c r="I461" s="113"/>
    </row>
    <row r="462" spans="8:9" x14ac:dyDescent="0.2">
      <c r="H462" s="113"/>
      <c r="I462" s="113"/>
    </row>
    <row r="463" spans="8:9" x14ac:dyDescent="0.2">
      <c r="H463" s="113"/>
      <c r="I463" s="113"/>
    </row>
    <row r="464" spans="8:9" x14ac:dyDescent="0.2">
      <c r="H464" s="113"/>
      <c r="I464" s="113"/>
    </row>
    <row r="465" spans="8:9" x14ac:dyDescent="0.2">
      <c r="H465" s="113"/>
      <c r="I465" s="113"/>
    </row>
    <row r="466" spans="8:9" x14ac:dyDescent="0.2">
      <c r="H466" s="113"/>
      <c r="I466" s="113"/>
    </row>
    <row r="467" spans="8:9" x14ac:dyDescent="0.2">
      <c r="H467" s="113"/>
      <c r="I467" s="113"/>
    </row>
    <row r="468" spans="8:9" x14ac:dyDescent="0.2">
      <c r="H468" s="113"/>
      <c r="I468" s="113"/>
    </row>
    <row r="469" spans="8:9" x14ac:dyDescent="0.2">
      <c r="H469" s="113"/>
      <c r="I469" s="113"/>
    </row>
    <row r="470" spans="8:9" x14ac:dyDescent="0.2">
      <c r="H470" s="113"/>
      <c r="I470" s="113"/>
    </row>
    <row r="471" spans="8:9" x14ac:dyDescent="0.2">
      <c r="H471" s="113"/>
      <c r="I471" s="113"/>
    </row>
    <row r="472" spans="8:9" x14ac:dyDescent="0.2">
      <c r="H472" s="113"/>
      <c r="I472" s="113"/>
    </row>
    <row r="473" spans="8:9" x14ac:dyDescent="0.2">
      <c r="H473" s="113"/>
      <c r="I473" s="113"/>
    </row>
    <row r="474" spans="8:9" x14ac:dyDescent="0.2">
      <c r="H474" s="113"/>
      <c r="I474" s="113"/>
    </row>
    <row r="475" spans="8:9" x14ac:dyDescent="0.2">
      <c r="H475" s="113"/>
      <c r="I475" s="113"/>
    </row>
    <row r="476" spans="8:9" x14ac:dyDescent="0.2">
      <c r="H476" s="113"/>
      <c r="I476" s="113"/>
    </row>
    <row r="477" spans="8:9" x14ac:dyDescent="0.2">
      <c r="H477" s="113"/>
      <c r="I477" s="113"/>
    </row>
    <row r="478" spans="8:9" x14ac:dyDescent="0.2">
      <c r="H478" s="113"/>
      <c r="I478" s="113"/>
    </row>
    <row r="479" spans="8:9" x14ac:dyDescent="0.2">
      <c r="H479" s="113"/>
      <c r="I479" s="113"/>
    </row>
    <row r="480" spans="8:9" x14ac:dyDescent="0.2">
      <c r="H480" s="113"/>
      <c r="I480" s="113"/>
    </row>
    <row r="481" spans="8:9" x14ac:dyDescent="0.2">
      <c r="H481" s="113"/>
      <c r="I481" s="113"/>
    </row>
    <row r="482" spans="8:9" x14ac:dyDescent="0.2">
      <c r="H482" s="113"/>
      <c r="I482" s="113"/>
    </row>
    <row r="483" spans="8:9" x14ac:dyDescent="0.2">
      <c r="H483" s="113"/>
      <c r="I483" s="113"/>
    </row>
    <row r="484" spans="8:9" x14ac:dyDescent="0.2">
      <c r="H484" s="113"/>
      <c r="I484" s="113"/>
    </row>
    <row r="485" spans="8:9" x14ac:dyDescent="0.2">
      <c r="H485" s="113"/>
      <c r="I485" s="113"/>
    </row>
    <row r="486" spans="8:9" x14ac:dyDescent="0.2">
      <c r="H486" s="113"/>
      <c r="I486" s="113"/>
    </row>
    <row r="487" spans="8:9" x14ac:dyDescent="0.2">
      <c r="H487" s="113"/>
      <c r="I487" s="113"/>
    </row>
    <row r="488" spans="8:9" x14ac:dyDescent="0.2">
      <c r="H488" s="113"/>
      <c r="I488" s="113"/>
    </row>
    <row r="489" spans="8:9" x14ac:dyDescent="0.2">
      <c r="H489" s="113"/>
      <c r="I489" s="113"/>
    </row>
    <row r="490" spans="8:9" x14ac:dyDescent="0.2">
      <c r="H490" s="113"/>
      <c r="I490" s="113"/>
    </row>
    <row r="491" spans="8:9" x14ac:dyDescent="0.2">
      <c r="H491" s="113"/>
      <c r="I491" s="113"/>
    </row>
    <row r="492" spans="8:9" x14ac:dyDescent="0.2">
      <c r="H492" s="113"/>
      <c r="I492" s="113"/>
    </row>
    <row r="493" spans="8:9" x14ac:dyDescent="0.2">
      <c r="H493" s="113"/>
      <c r="I493" s="113"/>
    </row>
    <row r="494" spans="8:9" x14ac:dyDescent="0.2">
      <c r="H494" s="113"/>
      <c r="I494" s="113"/>
    </row>
    <row r="495" spans="8:9" x14ac:dyDescent="0.2">
      <c r="H495" s="113"/>
      <c r="I495" s="113"/>
    </row>
    <row r="496" spans="8:9" x14ac:dyDescent="0.2">
      <c r="H496" s="113"/>
      <c r="I496" s="113"/>
    </row>
    <row r="497" spans="8:9" x14ac:dyDescent="0.2">
      <c r="H497" s="113"/>
      <c r="I497" s="113"/>
    </row>
    <row r="498" spans="8:9" x14ac:dyDescent="0.2">
      <c r="H498" s="113"/>
      <c r="I498" s="113"/>
    </row>
    <row r="499" spans="8:9" x14ac:dyDescent="0.2">
      <c r="H499" s="113"/>
      <c r="I499" s="113"/>
    </row>
    <row r="500" spans="8:9" x14ac:dyDescent="0.2">
      <c r="H500" s="113"/>
      <c r="I500" s="113"/>
    </row>
    <row r="501" spans="8:9" x14ac:dyDescent="0.2">
      <c r="H501" s="113"/>
      <c r="I501" s="113"/>
    </row>
    <row r="502" spans="8:9" x14ac:dyDescent="0.2">
      <c r="H502" s="113"/>
      <c r="I502" s="113"/>
    </row>
    <row r="503" spans="8:9" x14ac:dyDescent="0.2">
      <c r="H503" s="113"/>
      <c r="I503" s="113"/>
    </row>
    <row r="504" spans="8:9" x14ac:dyDescent="0.2">
      <c r="H504" s="113"/>
      <c r="I504" s="113"/>
    </row>
    <row r="505" spans="8:9" x14ac:dyDescent="0.2">
      <c r="H505" s="113"/>
      <c r="I505" s="113"/>
    </row>
    <row r="506" spans="8:9" x14ac:dyDescent="0.2">
      <c r="H506" s="113"/>
      <c r="I506" s="113"/>
    </row>
    <row r="507" spans="8:9" x14ac:dyDescent="0.2">
      <c r="H507" s="113"/>
      <c r="I507" s="113"/>
    </row>
    <row r="508" spans="8:9" x14ac:dyDescent="0.2">
      <c r="H508" s="113"/>
      <c r="I508" s="113"/>
    </row>
    <row r="509" spans="8:9" x14ac:dyDescent="0.2">
      <c r="H509" s="113"/>
      <c r="I509" s="113"/>
    </row>
    <row r="510" spans="8:9" x14ac:dyDescent="0.2">
      <c r="H510" s="113"/>
      <c r="I510" s="113"/>
    </row>
    <row r="511" spans="8:9" x14ac:dyDescent="0.2">
      <c r="H511" s="113"/>
      <c r="I511" s="113"/>
    </row>
    <row r="512" spans="8:9" x14ac:dyDescent="0.2">
      <c r="H512" s="113"/>
      <c r="I512" s="113"/>
    </row>
    <row r="513" spans="8:9" x14ac:dyDescent="0.2">
      <c r="H513" s="113"/>
      <c r="I513" s="113"/>
    </row>
    <row r="514" spans="8:9" x14ac:dyDescent="0.2">
      <c r="H514" s="113"/>
      <c r="I514" s="113"/>
    </row>
    <row r="515" spans="8:9" x14ac:dyDescent="0.2">
      <c r="H515" s="113"/>
      <c r="I515" s="113"/>
    </row>
    <row r="516" spans="8:9" x14ac:dyDescent="0.2">
      <c r="H516" s="113"/>
      <c r="I516" s="113"/>
    </row>
    <row r="517" spans="8:9" x14ac:dyDescent="0.2">
      <c r="H517" s="113"/>
      <c r="I517" s="113"/>
    </row>
    <row r="518" spans="8:9" x14ac:dyDescent="0.2">
      <c r="H518" s="113"/>
      <c r="I518" s="113"/>
    </row>
    <row r="519" spans="8:9" x14ac:dyDescent="0.2">
      <c r="H519" s="113"/>
      <c r="I519" s="113"/>
    </row>
    <row r="520" spans="8:9" x14ac:dyDescent="0.2">
      <c r="H520" s="113"/>
      <c r="I520" s="113"/>
    </row>
    <row r="521" spans="8:9" x14ac:dyDescent="0.2">
      <c r="H521" s="113"/>
      <c r="I521" s="113"/>
    </row>
    <row r="522" spans="8:9" x14ac:dyDescent="0.2">
      <c r="H522" s="113"/>
      <c r="I522" s="113"/>
    </row>
    <row r="523" spans="8:9" x14ac:dyDescent="0.2">
      <c r="H523" s="113"/>
      <c r="I523" s="113"/>
    </row>
    <row r="524" spans="8:9" x14ac:dyDescent="0.2">
      <c r="H524" s="113"/>
      <c r="I524" s="113"/>
    </row>
    <row r="525" spans="8:9" x14ac:dyDescent="0.2">
      <c r="H525" s="113"/>
      <c r="I525" s="113"/>
    </row>
    <row r="526" spans="8:9" x14ac:dyDescent="0.2">
      <c r="H526" s="113"/>
      <c r="I526" s="113"/>
    </row>
    <row r="527" spans="8:9" x14ac:dyDescent="0.2">
      <c r="H527" s="113"/>
      <c r="I527" s="113"/>
    </row>
    <row r="528" spans="8:9" x14ac:dyDescent="0.2">
      <c r="H528" s="113"/>
      <c r="I528" s="113"/>
    </row>
    <row r="529" spans="8:9" x14ac:dyDescent="0.2">
      <c r="H529" s="113"/>
      <c r="I529" s="113"/>
    </row>
    <row r="530" spans="8:9" x14ac:dyDescent="0.2">
      <c r="H530" s="113"/>
      <c r="I530" s="113"/>
    </row>
    <row r="531" spans="8:9" x14ac:dyDescent="0.2">
      <c r="H531" s="113"/>
      <c r="I531" s="113"/>
    </row>
    <row r="532" spans="8:9" x14ac:dyDescent="0.2">
      <c r="H532" s="113"/>
      <c r="I532" s="113"/>
    </row>
    <row r="533" spans="8:9" x14ac:dyDescent="0.2">
      <c r="H533" s="113"/>
      <c r="I533" s="113"/>
    </row>
    <row r="534" spans="8:9" x14ac:dyDescent="0.2">
      <c r="H534" s="113"/>
      <c r="I534" s="113"/>
    </row>
    <row r="535" spans="8:9" x14ac:dyDescent="0.2">
      <c r="H535" s="113"/>
      <c r="I535" s="113"/>
    </row>
    <row r="536" spans="8:9" x14ac:dyDescent="0.2">
      <c r="H536" s="113"/>
      <c r="I536" s="113"/>
    </row>
    <row r="537" spans="8:9" x14ac:dyDescent="0.2">
      <c r="H537" s="113"/>
      <c r="I537" s="113"/>
    </row>
    <row r="538" spans="8:9" x14ac:dyDescent="0.2">
      <c r="H538" s="113"/>
      <c r="I538" s="113"/>
    </row>
    <row r="539" spans="8:9" x14ac:dyDescent="0.2">
      <c r="H539" s="113"/>
      <c r="I539" s="113"/>
    </row>
    <row r="540" spans="8:9" x14ac:dyDescent="0.2">
      <c r="H540" s="113"/>
      <c r="I540" s="113"/>
    </row>
    <row r="541" spans="8:9" x14ac:dyDescent="0.2">
      <c r="H541" s="113"/>
      <c r="I541" s="113"/>
    </row>
    <row r="542" spans="8:9" x14ac:dyDescent="0.2">
      <c r="H542" s="113"/>
      <c r="I542" s="113"/>
    </row>
    <row r="543" spans="8:9" x14ac:dyDescent="0.2">
      <c r="H543" s="113"/>
      <c r="I543" s="113"/>
    </row>
    <row r="544" spans="8:9" x14ac:dyDescent="0.2">
      <c r="H544" s="113"/>
      <c r="I544" s="113"/>
    </row>
    <row r="545" spans="8:9" x14ac:dyDescent="0.2">
      <c r="H545" s="113"/>
      <c r="I545" s="113"/>
    </row>
    <row r="546" spans="8:9" x14ac:dyDescent="0.2">
      <c r="H546" s="113"/>
      <c r="I546" s="113"/>
    </row>
    <row r="547" spans="8:9" x14ac:dyDescent="0.2">
      <c r="H547" s="113"/>
      <c r="I547" s="113"/>
    </row>
    <row r="548" spans="8:9" x14ac:dyDescent="0.2">
      <c r="H548" s="113"/>
      <c r="I548" s="113"/>
    </row>
    <row r="549" spans="8:9" x14ac:dyDescent="0.2">
      <c r="H549" s="113"/>
      <c r="I549" s="113"/>
    </row>
    <row r="550" spans="8:9" x14ac:dyDescent="0.2">
      <c r="H550" s="113"/>
      <c r="I550" s="113"/>
    </row>
    <row r="551" spans="8:9" x14ac:dyDescent="0.2">
      <c r="H551" s="113"/>
      <c r="I551" s="113"/>
    </row>
    <row r="552" spans="8:9" x14ac:dyDescent="0.2">
      <c r="H552" s="113"/>
      <c r="I552" s="113"/>
    </row>
    <row r="553" spans="8:9" x14ac:dyDescent="0.2">
      <c r="H553" s="113"/>
      <c r="I553" s="113"/>
    </row>
    <row r="554" spans="8:9" x14ac:dyDescent="0.2">
      <c r="H554" s="113"/>
      <c r="I554" s="113"/>
    </row>
    <row r="555" spans="8:9" x14ac:dyDescent="0.2">
      <c r="H555" s="113"/>
      <c r="I555" s="113"/>
    </row>
    <row r="556" spans="8:9" x14ac:dyDescent="0.2">
      <c r="H556" s="113"/>
      <c r="I556" s="113"/>
    </row>
    <row r="557" spans="8:9" x14ac:dyDescent="0.2">
      <c r="H557" s="113"/>
      <c r="I557" s="113"/>
    </row>
    <row r="558" spans="8:9" x14ac:dyDescent="0.2">
      <c r="H558" s="113"/>
      <c r="I558" s="113"/>
    </row>
    <row r="559" spans="8:9" x14ac:dyDescent="0.2">
      <c r="H559" s="113"/>
      <c r="I559" s="113"/>
    </row>
    <row r="560" spans="8:9" x14ac:dyDescent="0.2">
      <c r="H560" s="113"/>
      <c r="I560" s="113"/>
    </row>
    <row r="561" spans="8:9" x14ac:dyDescent="0.2">
      <c r="H561" s="113"/>
      <c r="I561" s="113"/>
    </row>
    <row r="562" spans="8:9" x14ac:dyDescent="0.2">
      <c r="H562" s="113"/>
      <c r="I562" s="113"/>
    </row>
    <row r="563" spans="8:9" x14ac:dyDescent="0.2">
      <c r="H563" s="113"/>
      <c r="I563" s="113"/>
    </row>
    <row r="564" spans="8:9" x14ac:dyDescent="0.2">
      <c r="H564" s="113"/>
      <c r="I564" s="113"/>
    </row>
    <row r="565" spans="8:9" x14ac:dyDescent="0.2">
      <c r="H565" s="113"/>
      <c r="I565" s="113"/>
    </row>
    <row r="566" spans="8:9" x14ac:dyDescent="0.2">
      <c r="H566" s="113"/>
      <c r="I566" s="113"/>
    </row>
    <row r="567" spans="8:9" x14ac:dyDescent="0.2">
      <c r="H567" s="113"/>
      <c r="I567" s="113"/>
    </row>
    <row r="568" spans="8:9" x14ac:dyDescent="0.2">
      <c r="H568" s="113"/>
      <c r="I568" s="113"/>
    </row>
    <row r="569" spans="8:9" x14ac:dyDescent="0.2">
      <c r="H569" s="113"/>
      <c r="I569" s="113"/>
    </row>
    <row r="570" spans="8:9" x14ac:dyDescent="0.2">
      <c r="H570" s="113"/>
      <c r="I570" s="113"/>
    </row>
    <row r="571" spans="8:9" x14ac:dyDescent="0.2">
      <c r="H571" s="113"/>
      <c r="I571" s="113"/>
    </row>
    <row r="572" spans="8:9" x14ac:dyDescent="0.2">
      <c r="H572" s="113"/>
      <c r="I572" s="113"/>
    </row>
    <row r="573" spans="8:9" x14ac:dyDescent="0.2">
      <c r="H573" s="113"/>
      <c r="I573" s="113"/>
    </row>
    <row r="574" spans="8:9" x14ac:dyDescent="0.2">
      <c r="H574" s="113"/>
      <c r="I574" s="113"/>
    </row>
    <row r="575" spans="8:9" x14ac:dyDescent="0.2">
      <c r="H575" s="113"/>
      <c r="I575" s="113"/>
    </row>
    <row r="576" spans="8:9" x14ac:dyDescent="0.2">
      <c r="H576" s="113"/>
      <c r="I576" s="113"/>
    </row>
    <row r="577" spans="8:9" x14ac:dyDescent="0.2">
      <c r="H577" s="113"/>
      <c r="I577" s="113"/>
    </row>
    <row r="578" spans="8:9" x14ac:dyDescent="0.2">
      <c r="H578" s="113"/>
      <c r="I578" s="113"/>
    </row>
    <row r="579" spans="8:9" x14ac:dyDescent="0.2">
      <c r="H579" s="113"/>
      <c r="I579" s="113"/>
    </row>
    <row r="580" spans="8:9" x14ac:dyDescent="0.2">
      <c r="H580" s="113"/>
      <c r="I580" s="113"/>
    </row>
    <row r="581" spans="8:9" x14ac:dyDescent="0.2">
      <c r="H581" s="113"/>
      <c r="I581" s="113"/>
    </row>
    <row r="582" spans="8:9" x14ac:dyDescent="0.2">
      <c r="H582" s="113"/>
      <c r="I582" s="113"/>
    </row>
    <row r="583" spans="8:9" x14ac:dyDescent="0.2">
      <c r="H583" s="113"/>
      <c r="I583" s="113"/>
    </row>
    <row r="584" spans="8:9" x14ac:dyDescent="0.2">
      <c r="H584" s="113"/>
      <c r="I584" s="113"/>
    </row>
    <row r="585" spans="8:9" x14ac:dyDescent="0.2">
      <c r="H585" s="113"/>
      <c r="I585" s="113"/>
    </row>
    <row r="586" spans="8:9" x14ac:dyDescent="0.2">
      <c r="H586" s="113"/>
      <c r="I586" s="113"/>
    </row>
    <row r="587" spans="8:9" x14ac:dyDescent="0.2">
      <c r="H587" s="113"/>
      <c r="I587" s="113"/>
    </row>
    <row r="588" spans="8:9" x14ac:dyDescent="0.2">
      <c r="H588" s="113"/>
      <c r="I588" s="113"/>
    </row>
    <row r="589" spans="8:9" x14ac:dyDescent="0.2">
      <c r="H589" s="113"/>
      <c r="I589" s="113"/>
    </row>
    <row r="590" spans="8:9" x14ac:dyDescent="0.2">
      <c r="H590" s="113"/>
      <c r="I590" s="113"/>
    </row>
    <row r="591" spans="8:9" x14ac:dyDescent="0.2">
      <c r="H591" s="113"/>
      <c r="I591" s="113"/>
    </row>
    <row r="592" spans="8:9" x14ac:dyDescent="0.2">
      <c r="H592" s="113"/>
      <c r="I592" s="113"/>
    </row>
    <row r="593" spans="8:9" x14ac:dyDescent="0.2">
      <c r="H593" s="113"/>
      <c r="I593" s="113"/>
    </row>
    <row r="594" spans="8:9" x14ac:dyDescent="0.2">
      <c r="H594" s="113"/>
      <c r="I594" s="113"/>
    </row>
    <row r="595" spans="8:9" x14ac:dyDescent="0.2">
      <c r="H595" s="113"/>
      <c r="I595" s="113"/>
    </row>
    <row r="596" spans="8:9" x14ac:dyDescent="0.2">
      <c r="H596" s="113"/>
      <c r="I596" s="113"/>
    </row>
    <row r="597" spans="8:9" x14ac:dyDescent="0.2">
      <c r="H597" s="113"/>
      <c r="I597" s="113"/>
    </row>
    <row r="598" spans="8:9" x14ac:dyDescent="0.2">
      <c r="H598" s="113"/>
      <c r="I598" s="113"/>
    </row>
    <row r="599" spans="8:9" x14ac:dyDescent="0.2">
      <c r="H599" s="113"/>
      <c r="I599" s="113"/>
    </row>
    <row r="600" spans="8:9" x14ac:dyDescent="0.2">
      <c r="H600" s="113"/>
      <c r="I600" s="113"/>
    </row>
    <row r="601" spans="8:9" x14ac:dyDescent="0.2">
      <c r="H601" s="113"/>
      <c r="I601" s="113"/>
    </row>
    <row r="602" spans="8:9" x14ac:dyDescent="0.2">
      <c r="H602" s="113"/>
      <c r="I602" s="113"/>
    </row>
    <row r="603" spans="8:9" x14ac:dyDescent="0.2">
      <c r="H603" s="113"/>
      <c r="I603" s="113"/>
    </row>
    <row r="604" spans="8:9" x14ac:dyDescent="0.2">
      <c r="H604" s="113"/>
      <c r="I604" s="113"/>
    </row>
    <row r="605" spans="8:9" x14ac:dyDescent="0.2">
      <c r="H605" s="113"/>
      <c r="I605" s="113"/>
    </row>
    <row r="606" spans="8:9" x14ac:dyDescent="0.2">
      <c r="H606" s="113"/>
      <c r="I606" s="113"/>
    </row>
    <row r="607" spans="8:9" x14ac:dyDescent="0.2">
      <c r="H607" s="113"/>
      <c r="I607" s="113"/>
    </row>
    <row r="608" spans="8:9" x14ac:dyDescent="0.2">
      <c r="H608" s="113"/>
      <c r="I608" s="113"/>
    </row>
    <row r="609" spans="8:9" x14ac:dyDescent="0.2">
      <c r="H609" s="113"/>
      <c r="I609" s="113"/>
    </row>
    <row r="610" spans="8:9" x14ac:dyDescent="0.2">
      <c r="H610" s="113"/>
      <c r="I610" s="113"/>
    </row>
    <row r="611" spans="8:9" x14ac:dyDescent="0.2">
      <c r="H611" s="113"/>
      <c r="I611" s="113"/>
    </row>
    <row r="612" spans="8:9" x14ac:dyDescent="0.2">
      <c r="H612" s="113"/>
      <c r="I612" s="113"/>
    </row>
    <row r="613" spans="8:9" x14ac:dyDescent="0.2">
      <c r="H613" s="113"/>
      <c r="I613" s="113"/>
    </row>
    <row r="614" spans="8:9" x14ac:dyDescent="0.2">
      <c r="H614" s="113"/>
      <c r="I614" s="113"/>
    </row>
    <row r="615" spans="8:9" x14ac:dyDescent="0.2">
      <c r="H615" s="113"/>
      <c r="I615" s="113"/>
    </row>
    <row r="616" spans="8:9" x14ac:dyDescent="0.2">
      <c r="H616" s="113"/>
      <c r="I616" s="113"/>
    </row>
    <row r="617" spans="8:9" x14ac:dyDescent="0.2">
      <c r="H617" s="113"/>
      <c r="I617" s="113"/>
    </row>
    <row r="618" spans="8:9" x14ac:dyDescent="0.2">
      <c r="H618" s="113"/>
      <c r="I618" s="113"/>
    </row>
    <row r="619" spans="8:9" x14ac:dyDescent="0.2">
      <c r="H619" s="113"/>
      <c r="I619" s="113"/>
    </row>
    <row r="620" spans="8:9" x14ac:dyDescent="0.2">
      <c r="H620" s="113"/>
      <c r="I620" s="113"/>
    </row>
    <row r="621" spans="8:9" x14ac:dyDescent="0.2">
      <c r="H621" s="113"/>
      <c r="I621" s="113"/>
    </row>
    <row r="622" spans="8:9" x14ac:dyDescent="0.2">
      <c r="H622" s="113"/>
      <c r="I622" s="113"/>
    </row>
    <row r="623" spans="8:9" x14ac:dyDescent="0.2">
      <c r="H623" s="113"/>
      <c r="I623" s="113"/>
    </row>
    <row r="624" spans="8:9" x14ac:dyDescent="0.2">
      <c r="H624" s="113"/>
      <c r="I624" s="113"/>
    </row>
    <row r="625" spans="8:9" x14ac:dyDescent="0.2">
      <c r="H625" s="113"/>
      <c r="I625" s="113"/>
    </row>
    <row r="626" spans="8:9" x14ac:dyDescent="0.2">
      <c r="H626" s="113"/>
      <c r="I626" s="113"/>
    </row>
    <row r="627" spans="8:9" x14ac:dyDescent="0.2">
      <c r="H627" s="113"/>
      <c r="I627" s="113"/>
    </row>
    <row r="628" spans="8:9" x14ac:dyDescent="0.2">
      <c r="H628" s="113"/>
      <c r="I628" s="113"/>
    </row>
    <row r="629" spans="8:9" x14ac:dyDescent="0.2">
      <c r="H629" s="113"/>
      <c r="I629" s="113"/>
    </row>
    <row r="630" spans="8:9" x14ac:dyDescent="0.2">
      <c r="H630" s="113"/>
      <c r="I630" s="113"/>
    </row>
    <row r="631" spans="8:9" x14ac:dyDescent="0.2">
      <c r="H631" s="113"/>
      <c r="I631" s="113"/>
    </row>
    <row r="632" spans="8:9" x14ac:dyDescent="0.2">
      <c r="H632" s="113"/>
      <c r="I632" s="113"/>
    </row>
    <row r="633" spans="8:9" x14ac:dyDescent="0.2">
      <c r="H633" s="113"/>
      <c r="I633" s="113"/>
    </row>
    <row r="634" spans="8:9" x14ac:dyDescent="0.2">
      <c r="H634" s="113"/>
      <c r="I634" s="113"/>
    </row>
    <row r="635" spans="8:9" x14ac:dyDescent="0.2">
      <c r="H635" s="113"/>
      <c r="I635" s="113"/>
    </row>
    <row r="636" spans="8:9" x14ac:dyDescent="0.2">
      <c r="H636" s="113"/>
      <c r="I636" s="113"/>
    </row>
    <row r="637" spans="8:9" x14ac:dyDescent="0.2">
      <c r="H637" s="113"/>
      <c r="I637" s="113"/>
    </row>
    <row r="638" spans="8:9" x14ac:dyDescent="0.2">
      <c r="H638" s="113"/>
      <c r="I638" s="113"/>
    </row>
    <row r="639" spans="8:9" x14ac:dyDescent="0.2">
      <c r="H639" s="113"/>
      <c r="I639" s="113"/>
    </row>
    <row r="640" spans="8:9" x14ac:dyDescent="0.2">
      <c r="H640" s="113"/>
      <c r="I640" s="113"/>
    </row>
    <row r="641" spans="8:9" x14ac:dyDescent="0.2">
      <c r="H641" s="113"/>
      <c r="I641" s="113"/>
    </row>
    <row r="642" spans="8:9" x14ac:dyDescent="0.2">
      <c r="H642" s="113"/>
      <c r="I642" s="113"/>
    </row>
    <row r="643" spans="8:9" x14ac:dyDescent="0.2">
      <c r="H643" s="113"/>
      <c r="I643" s="113"/>
    </row>
    <row r="644" spans="8:9" x14ac:dyDescent="0.2">
      <c r="H644" s="113"/>
      <c r="I644" s="113"/>
    </row>
    <row r="645" spans="8:9" x14ac:dyDescent="0.2">
      <c r="H645" s="113"/>
      <c r="I645" s="113"/>
    </row>
    <row r="646" spans="8:9" x14ac:dyDescent="0.2">
      <c r="H646" s="113"/>
      <c r="I646" s="113"/>
    </row>
    <row r="647" spans="8:9" x14ac:dyDescent="0.2">
      <c r="H647" s="113"/>
      <c r="I647" s="113"/>
    </row>
    <row r="648" spans="8:9" x14ac:dyDescent="0.2">
      <c r="H648" s="113"/>
      <c r="I648" s="113"/>
    </row>
    <row r="649" spans="8:9" x14ac:dyDescent="0.2">
      <c r="H649" s="113"/>
      <c r="I649" s="113"/>
    </row>
    <row r="650" spans="8:9" x14ac:dyDescent="0.2">
      <c r="H650" s="113"/>
      <c r="I650" s="113"/>
    </row>
    <row r="651" spans="8:9" x14ac:dyDescent="0.2">
      <c r="H651" s="113"/>
      <c r="I651" s="113"/>
    </row>
    <row r="652" spans="8:9" x14ac:dyDescent="0.2">
      <c r="H652" s="113"/>
      <c r="I652" s="113"/>
    </row>
    <row r="653" spans="8:9" x14ac:dyDescent="0.2">
      <c r="H653" s="113"/>
      <c r="I653" s="113"/>
    </row>
    <row r="654" spans="8:9" x14ac:dyDescent="0.2">
      <c r="H654" s="113"/>
      <c r="I654" s="113"/>
    </row>
    <row r="655" spans="8:9" x14ac:dyDescent="0.2">
      <c r="H655" s="113"/>
      <c r="I655" s="113"/>
    </row>
    <row r="656" spans="8:9" x14ac:dyDescent="0.2">
      <c r="H656" s="113"/>
      <c r="I656" s="113"/>
    </row>
    <row r="657" spans="8:9" x14ac:dyDescent="0.2">
      <c r="H657" s="113"/>
      <c r="I657" s="113"/>
    </row>
    <row r="658" spans="8:9" x14ac:dyDescent="0.2">
      <c r="H658" s="113"/>
      <c r="I658" s="113"/>
    </row>
    <row r="659" spans="8:9" x14ac:dyDescent="0.2">
      <c r="H659" s="113"/>
      <c r="I659" s="113"/>
    </row>
    <row r="660" spans="8:9" x14ac:dyDescent="0.2">
      <c r="H660" s="113"/>
      <c r="I660" s="113"/>
    </row>
    <row r="661" spans="8:9" x14ac:dyDescent="0.2">
      <c r="H661" s="113"/>
      <c r="I661" s="113"/>
    </row>
    <row r="662" spans="8:9" x14ac:dyDescent="0.2">
      <c r="H662" s="113"/>
      <c r="I662" s="113"/>
    </row>
    <row r="663" spans="8:9" x14ac:dyDescent="0.2">
      <c r="H663" s="113"/>
      <c r="I663" s="113"/>
    </row>
    <row r="664" spans="8:9" x14ac:dyDescent="0.2">
      <c r="H664" s="113"/>
      <c r="I664" s="113"/>
    </row>
    <row r="665" spans="8:9" x14ac:dyDescent="0.2">
      <c r="H665" s="113"/>
      <c r="I665" s="113"/>
    </row>
    <row r="666" spans="8:9" x14ac:dyDescent="0.2">
      <c r="H666" s="113"/>
      <c r="I666" s="113"/>
    </row>
    <row r="667" spans="8:9" x14ac:dyDescent="0.2">
      <c r="H667" s="113"/>
      <c r="I667" s="113"/>
    </row>
    <row r="668" spans="8:9" x14ac:dyDescent="0.2">
      <c r="H668" s="113"/>
      <c r="I668" s="113"/>
    </row>
    <row r="669" spans="8:9" x14ac:dyDescent="0.2">
      <c r="H669" s="113"/>
      <c r="I669" s="113"/>
    </row>
    <row r="670" spans="8:9" x14ac:dyDescent="0.2">
      <c r="H670" s="113"/>
      <c r="I670" s="113"/>
    </row>
    <row r="671" spans="8:9" x14ac:dyDescent="0.2">
      <c r="H671" s="113"/>
      <c r="I671" s="113"/>
    </row>
    <row r="672" spans="8:9" x14ac:dyDescent="0.2">
      <c r="H672" s="113"/>
      <c r="I672" s="113"/>
    </row>
    <row r="673" spans="8:9" x14ac:dyDescent="0.2">
      <c r="H673" s="113"/>
      <c r="I673" s="113"/>
    </row>
    <row r="674" spans="8:9" x14ac:dyDescent="0.2">
      <c r="H674" s="113"/>
      <c r="I674" s="113"/>
    </row>
    <row r="675" spans="8:9" x14ac:dyDescent="0.2">
      <c r="H675" s="113"/>
      <c r="I675" s="113"/>
    </row>
    <row r="676" spans="8:9" x14ac:dyDescent="0.2">
      <c r="H676" s="113"/>
      <c r="I676" s="113"/>
    </row>
    <row r="677" spans="8:9" x14ac:dyDescent="0.2">
      <c r="H677" s="113"/>
      <c r="I677" s="113"/>
    </row>
    <row r="678" spans="8:9" x14ac:dyDescent="0.2">
      <c r="H678" s="113"/>
      <c r="I678" s="113"/>
    </row>
    <row r="679" spans="8:9" x14ac:dyDescent="0.2">
      <c r="H679" s="113"/>
      <c r="I679" s="113"/>
    </row>
    <row r="680" spans="8:9" x14ac:dyDescent="0.2">
      <c r="H680" s="113"/>
      <c r="I680" s="113"/>
    </row>
    <row r="681" spans="8:9" x14ac:dyDescent="0.2">
      <c r="H681" s="113"/>
      <c r="I681" s="113"/>
    </row>
    <row r="682" spans="8:9" x14ac:dyDescent="0.2">
      <c r="H682" s="113"/>
      <c r="I682" s="113"/>
    </row>
    <row r="683" spans="8:9" x14ac:dyDescent="0.2">
      <c r="H683" s="113"/>
      <c r="I683" s="113"/>
    </row>
    <row r="684" spans="8:9" x14ac:dyDescent="0.2">
      <c r="H684" s="113"/>
      <c r="I684" s="113"/>
    </row>
    <row r="685" spans="8:9" x14ac:dyDescent="0.2">
      <c r="H685" s="113"/>
      <c r="I685" s="113"/>
    </row>
    <row r="686" spans="8:9" x14ac:dyDescent="0.2">
      <c r="H686" s="113"/>
      <c r="I686" s="113"/>
    </row>
    <row r="687" spans="8:9" x14ac:dyDescent="0.2">
      <c r="H687" s="113"/>
      <c r="I687" s="113"/>
    </row>
    <row r="688" spans="8:9" x14ac:dyDescent="0.2">
      <c r="H688" s="113"/>
      <c r="I688" s="113"/>
    </row>
    <row r="689" spans="8:9" x14ac:dyDescent="0.2">
      <c r="H689" s="113"/>
      <c r="I689" s="113"/>
    </row>
    <row r="690" spans="8:9" x14ac:dyDescent="0.2">
      <c r="H690" s="113"/>
      <c r="I690" s="113"/>
    </row>
    <row r="691" spans="8:9" x14ac:dyDescent="0.2">
      <c r="H691" s="113"/>
      <c r="I691" s="113"/>
    </row>
    <row r="692" spans="8:9" x14ac:dyDescent="0.2">
      <c r="H692" s="113"/>
      <c r="I692" s="113"/>
    </row>
    <row r="693" spans="8:9" x14ac:dyDescent="0.2">
      <c r="H693" s="113"/>
      <c r="I693" s="113"/>
    </row>
    <row r="694" spans="8:9" x14ac:dyDescent="0.2">
      <c r="H694" s="113"/>
      <c r="I694" s="113"/>
    </row>
    <row r="695" spans="8:9" x14ac:dyDescent="0.2">
      <c r="H695" s="113"/>
      <c r="I695" s="113"/>
    </row>
    <row r="696" spans="8:9" x14ac:dyDescent="0.2">
      <c r="H696" s="113"/>
      <c r="I696" s="113"/>
    </row>
    <row r="697" spans="8:9" x14ac:dyDescent="0.2">
      <c r="H697" s="113"/>
      <c r="I697" s="113"/>
    </row>
    <row r="698" spans="8:9" x14ac:dyDescent="0.2">
      <c r="H698" s="113"/>
      <c r="I698" s="113"/>
    </row>
    <row r="699" spans="8:9" x14ac:dyDescent="0.2">
      <c r="H699" s="113"/>
      <c r="I699" s="113"/>
    </row>
    <row r="700" spans="8:9" x14ac:dyDescent="0.2">
      <c r="H700" s="113"/>
      <c r="I700" s="113"/>
    </row>
    <row r="701" spans="8:9" x14ac:dyDescent="0.2">
      <c r="H701" s="113"/>
      <c r="I701" s="113"/>
    </row>
    <row r="702" spans="8:9" x14ac:dyDescent="0.2">
      <c r="H702" s="113"/>
      <c r="I702" s="113"/>
    </row>
    <row r="703" spans="8:9" x14ac:dyDescent="0.2">
      <c r="H703" s="113"/>
      <c r="I703" s="113"/>
    </row>
    <row r="704" spans="8:9" x14ac:dyDescent="0.2">
      <c r="H704" s="113"/>
      <c r="I704" s="113"/>
    </row>
    <row r="705" spans="8:9" x14ac:dyDescent="0.2">
      <c r="H705" s="113"/>
      <c r="I705" s="113"/>
    </row>
    <row r="706" spans="8:9" x14ac:dyDescent="0.2">
      <c r="H706" s="113"/>
      <c r="I706" s="113"/>
    </row>
    <row r="707" spans="8:9" x14ac:dyDescent="0.2">
      <c r="H707" s="113"/>
      <c r="I707" s="113"/>
    </row>
    <row r="708" spans="8:9" x14ac:dyDescent="0.2">
      <c r="H708" s="113"/>
      <c r="I708" s="113"/>
    </row>
    <row r="709" spans="8:9" x14ac:dyDescent="0.2">
      <c r="H709" s="113"/>
      <c r="I709" s="113"/>
    </row>
    <row r="710" spans="8:9" x14ac:dyDescent="0.2">
      <c r="H710" s="113"/>
      <c r="I710" s="113"/>
    </row>
    <row r="711" spans="8:9" x14ac:dyDescent="0.2">
      <c r="H711" s="113"/>
      <c r="I711" s="113"/>
    </row>
    <row r="712" spans="8:9" x14ac:dyDescent="0.2">
      <c r="H712" s="113"/>
      <c r="I712" s="113"/>
    </row>
    <row r="713" spans="8:9" x14ac:dyDescent="0.2">
      <c r="H713" s="113"/>
      <c r="I713" s="113"/>
    </row>
    <row r="714" spans="8:9" x14ac:dyDescent="0.2">
      <c r="H714" s="113"/>
      <c r="I714" s="113"/>
    </row>
    <row r="715" spans="8:9" x14ac:dyDescent="0.2">
      <c r="H715" s="113"/>
      <c r="I715" s="113"/>
    </row>
    <row r="716" spans="8:9" x14ac:dyDescent="0.2">
      <c r="H716" s="113"/>
      <c r="I716" s="113"/>
    </row>
    <row r="717" spans="8:9" x14ac:dyDescent="0.2">
      <c r="H717" s="113"/>
      <c r="I717" s="113"/>
    </row>
    <row r="718" spans="8:9" x14ac:dyDescent="0.2">
      <c r="H718" s="113"/>
      <c r="I718" s="113"/>
    </row>
    <row r="719" spans="8:9" x14ac:dyDescent="0.2">
      <c r="H719" s="113"/>
      <c r="I719" s="113"/>
    </row>
    <row r="720" spans="8:9" x14ac:dyDescent="0.2">
      <c r="H720" s="113"/>
      <c r="I720" s="113"/>
    </row>
    <row r="721" spans="8:9" x14ac:dyDescent="0.2">
      <c r="H721" s="113"/>
      <c r="I721" s="113"/>
    </row>
    <row r="722" spans="8:9" x14ac:dyDescent="0.2">
      <c r="H722" s="113"/>
      <c r="I722" s="113"/>
    </row>
    <row r="723" spans="8:9" x14ac:dyDescent="0.2">
      <c r="H723" s="113"/>
      <c r="I723" s="113"/>
    </row>
    <row r="724" spans="8:9" x14ac:dyDescent="0.2">
      <c r="H724" s="113"/>
      <c r="I724" s="113"/>
    </row>
    <row r="725" spans="8:9" x14ac:dyDescent="0.2">
      <c r="H725" s="113"/>
      <c r="I725" s="113"/>
    </row>
    <row r="726" spans="8:9" x14ac:dyDescent="0.2">
      <c r="H726" s="113"/>
      <c r="I726" s="113"/>
    </row>
    <row r="727" spans="8:9" x14ac:dyDescent="0.2">
      <c r="H727" s="113"/>
      <c r="I727" s="113"/>
    </row>
    <row r="728" spans="8:9" x14ac:dyDescent="0.2">
      <c r="H728" s="113"/>
      <c r="I728" s="113"/>
    </row>
    <row r="729" spans="8:9" x14ac:dyDescent="0.2">
      <c r="H729" s="113"/>
      <c r="I729" s="113"/>
    </row>
    <row r="730" spans="8:9" x14ac:dyDescent="0.2">
      <c r="H730" s="113"/>
      <c r="I730" s="113"/>
    </row>
    <row r="731" spans="8:9" x14ac:dyDescent="0.2">
      <c r="H731" s="113"/>
      <c r="I731" s="113"/>
    </row>
    <row r="732" spans="8:9" x14ac:dyDescent="0.2">
      <c r="H732" s="113"/>
      <c r="I732" s="113"/>
    </row>
    <row r="733" spans="8:9" x14ac:dyDescent="0.2">
      <c r="H733" s="113"/>
      <c r="I733" s="113"/>
    </row>
    <row r="734" spans="8:9" x14ac:dyDescent="0.2">
      <c r="H734" s="113"/>
      <c r="I734" s="113"/>
    </row>
    <row r="735" spans="8:9" x14ac:dyDescent="0.2">
      <c r="H735" s="113"/>
      <c r="I735" s="113"/>
    </row>
    <row r="736" spans="8:9" x14ac:dyDescent="0.2">
      <c r="H736" s="113"/>
      <c r="I736" s="113"/>
    </row>
    <row r="737" spans="8:9" x14ac:dyDescent="0.2">
      <c r="H737" s="113"/>
      <c r="I737" s="113"/>
    </row>
    <row r="738" spans="8:9" x14ac:dyDescent="0.2">
      <c r="H738" s="113"/>
      <c r="I738" s="113"/>
    </row>
    <row r="739" spans="8:9" x14ac:dyDescent="0.2">
      <c r="H739" s="113"/>
      <c r="I739" s="113"/>
    </row>
    <row r="740" spans="8:9" x14ac:dyDescent="0.2">
      <c r="H740" s="113"/>
      <c r="I740" s="113"/>
    </row>
    <row r="741" spans="8:9" x14ac:dyDescent="0.2">
      <c r="H741" s="113"/>
      <c r="I741" s="113"/>
    </row>
    <row r="742" spans="8:9" x14ac:dyDescent="0.2">
      <c r="H742" s="113"/>
      <c r="I742" s="113"/>
    </row>
    <row r="743" spans="8:9" x14ac:dyDescent="0.2">
      <c r="H743" s="113"/>
      <c r="I743" s="113"/>
    </row>
    <row r="744" spans="8:9" x14ac:dyDescent="0.2">
      <c r="H744" s="113"/>
      <c r="I744" s="113"/>
    </row>
    <row r="745" spans="8:9" x14ac:dyDescent="0.2">
      <c r="H745" s="113"/>
      <c r="I745" s="113"/>
    </row>
    <row r="746" spans="8:9" x14ac:dyDescent="0.2">
      <c r="H746" s="113"/>
      <c r="I746" s="113"/>
    </row>
    <row r="747" spans="8:9" x14ac:dyDescent="0.2">
      <c r="H747" s="113"/>
      <c r="I747" s="113"/>
    </row>
    <row r="748" spans="8:9" x14ac:dyDescent="0.2">
      <c r="H748" s="113"/>
      <c r="I748" s="113"/>
    </row>
    <row r="749" spans="8:9" x14ac:dyDescent="0.2">
      <c r="H749" s="113"/>
      <c r="I749" s="113"/>
    </row>
    <row r="750" spans="8:9" x14ac:dyDescent="0.2">
      <c r="H750" s="113"/>
      <c r="I750" s="113"/>
    </row>
    <row r="751" spans="8:9" x14ac:dyDescent="0.2">
      <c r="H751" s="113"/>
      <c r="I751" s="113"/>
    </row>
    <row r="752" spans="8:9" x14ac:dyDescent="0.2">
      <c r="H752" s="113"/>
      <c r="I752" s="113"/>
    </row>
    <row r="753" spans="8:9" x14ac:dyDescent="0.2">
      <c r="H753" s="113"/>
      <c r="I753" s="113"/>
    </row>
    <row r="754" spans="8:9" x14ac:dyDescent="0.2">
      <c r="H754" s="113"/>
      <c r="I754" s="113"/>
    </row>
    <row r="755" spans="8:9" x14ac:dyDescent="0.2">
      <c r="H755" s="113"/>
      <c r="I755" s="113"/>
    </row>
    <row r="756" spans="8:9" x14ac:dyDescent="0.2">
      <c r="H756" s="113"/>
      <c r="I756" s="113"/>
    </row>
    <row r="757" spans="8:9" x14ac:dyDescent="0.2">
      <c r="H757" s="113"/>
      <c r="I757" s="113"/>
    </row>
    <row r="758" spans="8:9" x14ac:dyDescent="0.2">
      <c r="H758" s="113"/>
      <c r="I758" s="113"/>
    </row>
    <row r="759" spans="8:9" x14ac:dyDescent="0.2">
      <c r="H759" s="113"/>
      <c r="I759" s="113"/>
    </row>
    <row r="760" spans="8:9" x14ac:dyDescent="0.2">
      <c r="H760" s="113"/>
      <c r="I760" s="113"/>
    </row>
    <row r="761" spans="8:9" x14ac:dyDescent="0.2">
      <c r="H761" s="113"/>
      <c r="I761" s="113"/>
    </row>
    <row r="762" spans="8:9" x14ac:dyDescent="0.2">
      <c r="H762" s="113"/>
      <c r="I762" s="113"/>
    </row>
    <row r="763" spans="8:9" x14ac:dyDescent="0.2">
      <c r="H763" s="113"/>
      <c r="I763" s="113"/>
    </row>
    <row r="764" spans="8:9" x14ac:dyDescent="0.2">
      <c r="H764" s="113"/>
      <c r="I764" s="113"/>
    </row>
    <row r="765" spans="8:9" x14ac:dyDescent="0.2">
      <c r="H765" s="113"/>
      <c r="I765" s="113"/>
    </row>
    <row r="766" spans="8:9" x14ac:dyDescent="0.2">
      <c r="H766" s="113"/>
      <c r="I766" s="113"/>
    </row>
    <row r="767" spans="8:9" x14ac:dyDescent="0.2">
      <c r="H767" s="113"/>
      <c r="I767" s="113"/>
    </row>
    <row r="768" spans="8:9" x14ac:dyDescent="0.2">
      <c r="H768" s="113"/>
      <c r="I768" s="113"/>
    </row>
    <row r="769" spans="8:9" x14ac:dyDescent="0.2">
      <c r="H769" s="113"/>
      <c r="I769" s="113"/>
    </row>
    <row r="770" spans="8:9" x14ac:dyDescent="0.2">
      <c r="H770" s="113"/>
      <c r="I770" s="113"/>
    </row>
    <row r="771" spans="8:9" x14ac:dyDescent="0.2">
      <c r="H771" s="113"/>
      <c r="I771" s="113"/>
    </row>
    <row r="772" spans="8:9" x14ac:dyDescent="0.2">
      <c r="H772" s="113"/>
      <c r="I772" s="113"/>
    </row>
    <row r="773" spans="8:9" x14ac:dyDescent="0.2">
      <c r="H773" s="113"/>
      <c r="I773" s="113"/>
    </row>
    <row r="774" spans="8:9" x14ac:dyDescent="0.2">
      <c r="H774" s="113"/>
      <c r="I774" s="113"/>
    </row>
    <row r="775" spans="8:9" x14ac:dyDescent="0.2">
      <c r="H775" s="113"/>
      <c r="I775" s="113"/>
    </row>
    <row r="776" spans="8:9" x14ac:dyDescent="0.2">
      <c r="H776" s="113"/>
      <c r="I776" s="113"/>
    </row>
    <row r="777" spans="8:9" x14ac:dyDescent="0.2">
      <c r="H777" s="113"/>
      <c r="I777" s="113"/>
    </row>
    <row r="778" spans="8:9" x14ac:dyDescent="0.2">
      <c r="H778" s="113"/>
      <c r="I778" s="113"/>
    </row>
    <row r="779" spans="8:9" x14ac:dyDescent="0.2">
      <c r="H779" s="113"/>
      <c r="I779" s="113"/>
    </row>
    <row r="780" spans="8:9" x14ac:dyDescent="0.2">
      <c r="H780" s="113"/>
      <c r="I780" s="113"/>
    </row>
    <row r="781" spans="8:9" x14ac:dyDescent="0.2">
      <c r="H781" s="113"/>
      <c r="I781" s="113"/>
    </row>
    <row r="782" spans="8:9" x14ac:dyDescent="0.2">
      <c r="H782" s="113"/>
      <c r="I782" s="113"/>
    </row>
    <row r="783" spans="8:9" x14ac:dyDescent="0.2">
      <c r="H783" s="113"/>
      <c r="I783" s="113"/>
    </row>
    <row r="784" spans="8:9" x14ac:dyDescent="0.2">
      <c r="H784" s="113"/>
      <c r="I784" s="113"/>
    </row>
    <row r="785" spans="8:9" x14ac:dyDescent="0.2">
      <c r="H785" s="113"/>
      <c r="I785" s="113"/>
    </row>
    <row r="786" spans="8:9" x14ac:dyDescent="0.2">
      <c r="H786" s="113"/>
      <c r="I786" s="113"/>
    </row>
    <row r="787" spans="8:9" x14ac:dyDescent="0.2">
      <c r="H787" s="113"/>
      <c r="I787" s="113"/>
    </row>
    <row r="788" spans="8:9" x14ac:dyDescent="0.2">
      <c r="H788" s="113"/>
      <c r="I788" s="113"/>
    </row>
    <row r="789" spans="8:9" x14ac:dyDescent="0.2">
      <c r="H789" s="113"/>
      <c r="I789" s="113"/>
    </row>
    <row r="790" spans="8:9" x14ac:dyDescent="0.2">
      <c r="H790" s="113"/>
      <c r="I790" s="113"/>
    </row>
    <row r="791" spans="8:9" x14ac:dyDescent="0.2">
      <c r="H791" s="113"/>
      <c r="I791" s="113"/>
    </row>
    <row r="792" spans="8:9" x14ac:dyDescent="0.2">
      <c r="H792" s="113"/>
      <c r="I792" s="113"/>
    </row>
    <row r="793" spans="8:9" x14ac:dyDescent="0.2">
      <c r="H793" s="113"/>
      <c r="I793" s="113"/>
    </row>
    <row r="794" spans="8:9" x14ac:dyDescent="0.2">
      <c r="H794" s="113"/>
      <c r="I794" s="113"/>
    </row>
    <row r="795" spans="8:9" x14ac:dyDescent="0.2">
      <c r="H795" s="113"/>
      <c r="I795" s="113"/>
    </row>
    <row r="796" spans="8:9" x14ac:dyDescent="0.2">
      <c r="H796" s="113"/>
      <c r="I796" s="113"/>
    </row>
    <row r="797" spans="8:9" x14ac:dyDescent="0.2">
      <c r="H797" s="113"/>
      <c r="I797" s="113"/>
    </row>
    <row r="798" spans="8:9" x14ac:dyDescent="0.2">
      <c r="H798" s="113"/>
      <c r="I798" s="113"/>
    </row>
    <row r="799" spans="8:9" x14ac:dyDescent="0.2">
      <c r="H799" s="113"/>
      <c r="I799" s="113"/>
    </row>
    <row r="800" spans="8:9" x14ac:dyDescent="0.2">
      <c r="H800" s="113"/>
      <c r="I800" s="113"/>
    </row>
    <row r="801" spans="8:9" x14ac:dyDescent="0.2">
      <c r="H801" s="113"/>
      <c r="I801" s="113"/>
    </row>
    <row r="802" spans="8:9" x14ac:dyDescent="0.2">
      <c r="H802" s="113"/>
      <c r="I802" s="113"/>
    </row>
    <row r="803" spans="8:9" x14ac:dyDescent="0.2">
      <c r="H803" s="113"/>
      <c r="I803" s="113"/>
    </row>
    <row r="804" spans="8:9" x14ac:dyDescent="0.2">
      <c r="H804" s="113"/>
      <c r="I804" s="113"/>
    </row>
    <row r="805" spans="8:9" x14ac:dyDescent="0.2">
      <c r="H805" s="113"/>
      <c r="I805" s="113"/>
    </row>
    <row r="806" spans="8:9" x14ac:dyDescent="0.2">
      <c r="H806" s="113"/>
      <c r="I806" s="113"/>
    </row>
    <row r="807" spans="8:9" x14ac:dyDescent="0.2">
      <c r="H807" s="113"/>
      <c r="I807" s="113"/>
    </row>
    <row r="808" spans="8:9" x14ac:dyDescent="0.2">
      <c r="H808" s="113"/>
      <c r="I808" s="113"/>
    </row>
    <row r="809" spans="8:9" x14ac:dyDescent="0.2">
      <c r="H809" s="113"/>
      <c r="I809" s="113"/>
    </row>
    <row r="810" spans="8:9" x14ac:dyDescent="0.2">
      <c r="H810" s="113"/>
      <c r="I810" s="113"/>
    </row>
    <row r="811" spans="8:9" x14ac:dyDescent="0.2">
      <c r="H811" s="113"/>
      <c r="I811" s="113"/>
    </row>
    <row r="812" spans="8:9" x14ac:dyDescent="0.2">
      <c r="H812" s="113"/>
      <c r="I812" s="113"/>
    </row>
    <row r="813" spans="8:9" x14ac:dyDescent="0.2">
      <c r="H813" s="113"/>
      <c r="I813" s="113"/>
    </row>
    <row r="814" spans="8:9" x14ac:dyDescent="0.2">
      <c r="H814" s="113"/>
      <c r="I814" s="113"/>
    </row>
    <row r="815" spans="8:9" x14ac:dyDescent="0.2">
      <c r="H815" s="113"/>
      <c r="I815" s="113"/>
    </row>
    <row r="816" spans="8:9" x14ac:dyDescent="0.2">
      <c r="H816" s="113"/>
      <c r="I816" s="113"/>
    </row>
    <row r="817" spans="8:9" x14ac:dyDescent="0.2">
      <c r="H817" s="113"/>
      <c r="I817" s="113"/>
    </row>
    <row r="818" spans="8:9" x14ac:dyDescent="0.2">
      <c r="H818" s="113"/>
      <c r="I818" s="113"/>
    </row>
    <row r="819" spans="8:9" x14ac:dyDescent="0.2">
      <c r="H819" s="113"/>
      <c r="I819" s="113"/>
    </row>
    <row r="820" spans="8:9" x14ac:dyDescent="0.2">
      <c r="H820" s="113"/>
      <c r="I820" s="113"/>
    </row>
    <row r="821" spans="8:9" x14ac:dyDescent="0.2">
      <c r="H821" s="113"/>
      <c r="I821" s="113"/>
    </row>
    <row r="822" spans="8:9" x14ac:dyDescent="0.2">
      <c r="H822" s="113"/>
      <c r="I822" s="113"/>
    </row>
    <row r="823" spans="8:9" x14ac:dyDescent="0.2">
      <c r="H823" s="113"/>
      <c r="I823" s="113"/>
    </row>
    <row r="824" spans="8:9" x14ac:dyDescent="0.2">
      <c r="H824" s="113"/>
      <c r="I824" s="113"/>
    </row>
    <row r="825" spans="8:9" x14ac:dyDescent="0.2">
      <c r="H825" s="113"/>
      <c r="I825" s="113"/>
    </row>
    <row r="826" spans="8:9" x14ac:dyDescent="0.2">
      <c r="H826" s="113"/>
      <c r="I826" s="113"/>
    </row>
    <row r="827" spans="8:9" x14ac:dyDescent="0.2">
      <c r="H827" s="113"/>
      <c r="I827" s="113"/>
    </row>
    <row r="828" spans="8:9" x14ac:dyDescent="0.2">
      <c r="H828" s="113"/>
      <c r="I828" s="113"/>
    </row>
    <row r="829" spans="8:9" x14ac:dyDescent="0.2">
      <c r="H829" s="113"/>
      <c r="I829" s="113"/>
    </row>
    <row r="830" spans="8:9" x14ac:dyDescent="0.2">
      <c r="H830" s="113"/>
      <c r="I830" s="113"/>
    </row>
    <row r="831" spans="8:9" x14ac:dyDescent="0.2">
      <c r="H831" s="113"/>
      <c r="I831" s="113"/>
    </row>
    <row r="832" spans="8:9" x14ac:dyDescent="0.2">
      <c r="H832" s="113"/>
      <c r="I832" s="113"/>
    </row>
    <row r="833" spans="8:9" x14ac:dyDescent="0.2">
      <c r="H833" s="113"/>
      <c r="I833" s="113"/>
    </row>
    <row r="834" spans="8:9" x14ac:dyDescent="0.2">
      <c r="H834" s="113"/>
      <c r="I834" s="113"/>
    </row>
    <row r="835" spans="8:9" x14ac:dyDescent="0.2">
      <c r="H835" s="113"/>
      <c r="I835" s="113"/>
    </row>
    <row r="836" spans="8:9" x14ac:dyDescent="0.2">
      <c r="H836" s="113"/>
      <c r="I836" s="113"/>
    </row>
    <row r="837" spans="8:9" x14ac:dyDescent="0.2">
      <c r="H837" s="113"/>
      <c r="I837" s="113"/>
    </row>
    <row r="838" spans="8:9" x14ac:dyDescent="0.2">
      <c r="H838" s="113"/>
      <c r="I838" s="113"/>
    </row>
    <row r="839" spans="8:9" x14ac:dyDescent="0.2">
      <c r="H839" s="113"/>
      <c r="I839" s="113"/>
    </row>
    <row r="840" spans="8:9" x14ac:dyDescent="0.2">
      <c r="H840" s="113"/>
      <c r="I840" s="113"/>
    </row>
    <row r="841" spans="8:9" x14ac:dyDescent="0.2">
      <c r="H841" s="113"/>
      <c r="I841" s="113"/>
    </row>
    <row r="842" spans="8:9" x14ac:dyDescent="0.2">
      <c r="H842" s="113"/>
      <c r="I842" s="113"/>
    </row>
    <row r="843" spans="8:9" x14ac:dyDescent="0.2">
      <c r="H843" s="113"/>
      <c r="I843" s="113"/>
    </row>
    <row r="844" spans="8:9" x14ac:dyDescent="0.2">
      <c r="H844" s="113"/>
      <c r="I844" s="113"/>
    </row>
    <row r="845" spans="8:9" x14ac:dyDescent="0.2">
      <c r="H845" s="113"/>
      <c r="I845" s="113"/>
    </row>
    <row r="846" spans="8:9" x14ac:dyDescent="0.2">
      <c r="H846" s="113"/>
      <c r="I846" s="113"/>
    </row>
    <row r="847" spans="8:9" x14ac:dyDescent="0.2">
      <c r="H847" s="113"/>
      <c r="I847" s="113"/>
    </row>
    <row r="848" spans="8:9" x14ac:dyDescent="0.2">
      <c r="H848" s="113"/>
      <c r="I848" s="113"/>
    </row>
    <row r="849" spans="8:9" x14ac:dyDescent="0.2">
      <c r="H849" s="113"/>
      <c r="I849" s="113"/>
    </row>
    <row r="850" spans="8:9" x14ac:dyDescent="0.2">
      <c r="H850" s="113"/>
      <c r="I850" s="113"/>
    </row>
    <row r="851" spans="8:9" x14ac:dyDescent="0.2">
      <c r="H851" s="113"/>
      <c r="I851" s="113"/>
    </row>
    <row r="852" spans="8:9" x14ac:dyDescent="0.2">
      <c r="H852" s="113"/>
      <c r="I852" s="113"/>
    </row>
    <row r="853" spans="8:9" x14ac:dyDescent="0.2">
      <c r="H853" s="113"/>
      <c r="I853" s="113"/>
    </row>
    <row r="854" spans="8:9" x14ac:dyDescent="0.2">
      <c r="H854" s="113"/>
      <c r="I854" s="113"/>
    </row>
    <row r="855" spans="8:9" x14ac:dyDescent="0.2">
      <c r="H855" s="113"/>
      <c r="I855" s="113"/>
    </row>
    <row r="856" spans="8:9" x14ac:dyDescent="0.2">
      <c r="H856" s="113"/>
      <c r="I856" s="113"/>
    </row>
    <row r="857" spans="8:9" x14ac:dyDescent="0.2">
      <c r="H857" s="113"/>
      <c r="I857" s="113"/>
    </row>
    <row r="858" spans="8:9" x14ac:dyDescent="0.2">
      <c r="H858" s="113"/>
      <c r="I858" s="113"/>
    </row>
    <row r="859" spans="8:9" x14ac:dyDescent="0.2">
      <c r="H859" s="113"/>
      <c r="I859" s="113"/>
    </row>
    <row r="860" spans="8:9" x14ac:dyDescent="0.2">
      <c r="H860" s="113"/>
      <c r="I860" s="113"/>
    </row>
    <row r="861" spans="8:9" x14ac:dyDescent="0.2">
      <c r="H861" s="113"/>
      <c r="I861" s="113"/>
    </row>
    <row r="862" spans="8:9" x14ac:dyDescent="0.2">
      <c r="H862" s="113"/>
      <c r="I862" s="113"/>
    </row>
    <row r="863" spans="8:9" x14ac:dyDescent="0.2">
      <c r="H863" s="113"/>
      <c r="I863" s="113"/>
    </row>
    <row r="864" spans="8:9" x14ac:dyDescent="0.2">
      <c r="H864" s="113"/>
      <c r="I864" s="113"/>
    </row>
    <row r="865" spans="8:9" x14ac:dyDescent="0.2">
      <c r="H865" s="113"/>
      <c r="I865" s="113"/>
    </row>
    <row r="866" spans="8:9" x14ac:dyDescent="0.2">
      <c r="H866" s="113"/>
      <c r="I866" s="113"/>
    </row>
    <row r="867" spans="8:9" x14ac:dyDescent="0.2">
      <c r="H867" s="113"/>
      <c r="I867" s="113"/>
    </row>
    <row r="868" spans="8:9" x14ac:dyDescent="0.2">
      <c r="H868" s="113"/>
      <c r="I868" s="113"/>
    </row>
    <row r="869" spans="8:9" x14ac:dyDescent="0.2">
      <c r="H869" s="113"/>
      <c r="I869" s="113"/>
    </row>
    <row r="870" spans="8:9" x14ac:dyDescent="0.2">
      <c r="H870" s="113"/>
      <c r="I870" s="113"/>
    </row>
    <row r="871" spans="8:9" x14ac:dyDescent="0.2">
      <c r="H871" s="113"/>
      <c r="I871" s="113"/>
    </row>
    <row r="872" spans="8:9" x14ac:dyDescent="0.2">
      <c r="H872" s="113"/>
      <c r="I872" s="113"/>
    </row>
    <row r="873" spans="8:9" x14ac:dyDescent="0.2">
      <c r="H873" s="113"/>
      <c r="I873" s="113"/>
    </row>
    <row r="874" spans="8:9" x14ac:dyDescent="0.2">
      <c r="H874" s="113"/>
      <c r="I874" s="113"/>
    </row>
    <row r="875" spans="8:9" x14ac:dyDescent="0.2">
      <c r="H875" s="113"/>
      <c r="I875" s="113"/>
    </row>
    <row r="876" spans="8:9" x14ac:dyDescent="0.2">
      <c r="H876" s="113"/>
      <c r="I876" s="113"/>
    </row>
    <row r="877" spans="8:9" x14ac:dyDescent="0.2">
      <c r="H877" s="113"/>
      <c r="I877" s="113"/>
    </row>
    <row r="878" spans="8:9" x14ac:dyDescent="0.2">
      <c r="H878" s="113"/>
      <c r="I878" s="113"/>
    </row>
  </sheetData>
  <sortState ref="A14:GH24">
    <sortCondition ref="B14:B24"/>
    <sortCondition ref="C14:C24"/>
  </sortState>
  <mergeCells count="1">
    <mergeCell ref="H2:I2"/>
  </mergeCells>
  <phoneticPr fontId="6" type="noConversion"/>
  <pageMargins left="0.15748031496062992" right="0.19685039370078741" top="0.59055118110236227" bottom="0.39370078740157483" header="0.15748031496062992" footer="0.23622047244094491"/>
  <pageSetup paperSize="9" scale="75" fitToHeight="0" orientation="landscape" r:id="rId1"/>
  <headerFooter alignWithMargins="0">
    <oddHeader xml:space="preserve">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2"/>
  <sheetViews>
    <sheetView zoomScale="112" zoomScaleNormal="112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6.140625" customWidth="1"/>
    <col min="2" max="2" width="23.42578125" customWidth="1"/>
    <col min="3" max="3" width="5.85546875" style="326" bestFit="1" customWidth="1"/>
    <col min="4" max="4" width="7.42578125" style="326" customWidth="1"/>
    <col min="5" max="5" width="7.28515625" style="326" customWidth="1"/>
    <col min="6" max="6" width="5.42578125" customWidth="1"/>
    <col min="7" max="7" width="4.85546875" bestFit="1" customWidth="1"/>
    <col min="8" max="8" width="8.5703125" customWidth="1"/>
    <col min="9" max="9" width="6.7109375" customWidth="1"/>
    <col min="10" max="10" width="8.28515625" customWidth="1"/>
    <col min="11" max="11" width="8.140625" hidden="1" customWidth="1"/>
    <col min="12" max="13" width="6.5703125" hidden="1" customWidth="1"/>
    <col min="14" max="14" width="5.5703125" hidden="1" customWidth="1"/>
    <col min="15" max="17" width="8.85546875" customWidth="1"/>
    <col min="18" max="18" width="5.5703125" customWidth="1"/>
    <col min="19" max="19" width="7" customWidth="1"/>
    <col min="20" max="20" width="6.7109375" style="175" customWidth="1"/>
  </cols>
  <sheetData>
    <row r="1" spans="1:21" ht="16.5" thickBot="1" x14ac:dyDescent="0.3">
      <c r="A1" s="269" t="s">
        <v>560</v>
      </c>
    </row>
    <row r="2" spans="1:21" ht="13.5" thickBot="1" x14ac:dyDescent="0.25">
      <c r="A2" s="123"/>
      <c r="B2" s="333"/>
      <c r="C2" s="248"/>
      <c r="D2" s="49" t="s">
        <v>398</v>
      </c>
      <c r="E2" s="144"/>
      <c r="F2" s="570" t="s">
        <v>3</v>
      </c>
      <c r="G2" s="571"/>
      <c r="H2" s="248"/>
      <c r="I2" s="49" t="s">
        <v>120</v>
      </c>
      <c r="J2" s="144"/>
      <c r="K2" s="248"/>
      <c r="L2" s="49" t="s">
        <v>302</v>
      </c>
      <c r="M2" s="144"/>
      <c r="N2" s="49"/>
      <c r="O2" s="248"/>
      <c r="P2" s="49" t="s">
        <v>307</v>
      </c>
      <c r="Q2" s="144"/>
      <c r="R2" s="49"/>
    </row>
    <row r="3" spans="1:21" ht="13.5" thickBot="1" x14ac:dyDescent="0.25">
      <c r="A3" s="250" t="s">
        <v>16</v>
      </c>
      <c r="B3" s="249"/>
      <c r="C3" s="250">
        <v>2022</v>
      </c>
      <c r="D3" s="251">
        <v>2022</v>
      </c>
      <c r="E3" s="252">
        <v>2022</v>
      </c>
      <c r="F3" s="250">
        <v>2022</v>
      </c>
      <c r="G3" s="252">
        <v>2022</v>
      </c>
      <c r="H3" s="250">
        <v>2022</v>
      </c>
      <c r="I3" s="251">
        <v>2022</v>
      </c>
      <c r="J3" s="252">
        <v>2022</v>
      </c>
      <c r="K3" s="250">
        <v>2022</v>
      </c>
      <c r="L3" s="251">
        <v>2022</v>
      </c>
      <c r="M3" s="252">
        <v>2022</v>
      </c>
      <c r="N3" s="251"/>
      <c r="O3" s="250">
        <v>2022</v>
      </c>
      <c r="P3" s="251">
        <v>2022</v>
      </c>
      <c r="Q3" s="252">
        <v>2022</v>
      </c>
      <c r="R3" s="251"/>
      <c r="S3" s="259" t="s">
        <v>176</v>
      </c>
      <c r="T3" s="171" t="s">
        <v>185</v>
      </c>
    </row>
    <row r="4" spans="1:21" ht="13.5" thickBot="1" x14ac:dyDescent="0.25">
      <c r="A4" s="253">
        <v>314</v>
      </c>
      <c r="B4" s="254" t="s">
        <v>284</v>
      </c>
      <c r="C4" s="253" t="s">
        <v>64</v>
      </c>
      <c r="D4" s="255" t="s">
        <v>65</v>
      </c>
      <c r="E4" s="256" t="s">
        <v>66</v>
      </c>
      <c r="F4" s="253" t="s">
        <v>64</v>
      </c>
      <c r="G4" s="303" t="s">
        <v>65</v>
      </c>
      <c r="H4" s="257" t="s">
        <v>64</v>
      </c>
      <c r="I4" s="255" t="s">
        <v>65</v>
      </c>
      <c r="J4" s="256" t="s">
        <v>66</v>
      </c>
      <c r="K4" s="253" t="s">
        <v>64</v>
      </c>
      <c r="L4" s="255" t="s">
        <v>65</v>
      </c>
      <c r="M4" s="256" t="s">
        <v>66</v>
      </c>
      <c r="N4" s="285" t="s">
        <v>4</v>
      </c>
      <c r="O4" s="253" t="s">
        <v>64</v>
      </c>
      <c r="P4" s="255" t="s">
        <v>65</v>
      </c>
      <c r="Q4" s="256" t="s">
        <v>66</v>
      </c>
      <c r="R4" s="285" t="s">
        <v>4</v>
      </c>
      <c r="S4" s="268" t="s">
        <v>175</v>
      </c>
      <c r="T4" s="172"/>
    </row>
    <row r="5" spans="1:21" x14ac:dyDescent="0.2">
      <c r="A5" s="124"/>
      <c r="B5" s="68" t="s">
        <v>87</v>
      </c>
      <c r="C5" s="259">
        <f>SUM(C6:C11)</f>
        <v>45158</v>
      </c>
      <c r="D5" s="55">
        <f>SUM(D6:D11)</f>
        <v>0</v>
      </c>
      <c r="E5" s="146">
        <f>SUM(E6:E11)</f>
        <v>45158</v>
      </c>
      <c r="F5" s="54">
        <f t="shared" ref="F5:M5" si="0">SUM(F6:F11)</f>
        <v>0</v>
      </c>
      <c r="G5" s="146">
        <f t="shared" si="0"/>
        <v>0</v>
      </c>
      <c r="H5" s="259">
        <f t="shared" si="0"/>
        <v>45158</v>
      </c>
      <c r="I5" s="55">
        <f t="shared" si="0"/>
        <v>0</v>
      </c>
      <c r="J5" s="146">
        <f t="shared" si="0"/>
        <v>45158</v>
      </c>
      <c r="K5" s="535">
        <f t="shared" si="0"/>
        <v>10734.148999999999</v>
      </c>
      <c r="L5" s="55">
        <f t="shared" si="0"/>
        <v>0</v>
      </c>
      <c r="M5" s="146">
        <f t="shared" si="0"/>
        <v>10734.148999999999</v>
      </c>
      <c r="N5" s="286">
        <f>M5/$J5</f>
        <v>0.23770204614907656</v>
      </c>
      <c r="O5" s="259">
        <f>SUM(O6:O11)</f>
        <v>21581.746999999999</v>
      </c>
      <c r="P5" s="55">
        <f>SUM(P6:P11)</f>
        <v>0</v>
      </c>
      <c r="Q5" s="146">
        <f>SUM(Q6:Q11)</f>
        <v>21581.746999999999</v>
      </c>
      <c r="R5" s="286">
        <f>Q5/$J5</f>
        <v>0.47791636033482437</v>
      </c>
      <c r="S5" s="314"/>
      <c r="T5" s="315"/>
    </row>
    <row r="6" spans="1:21" x14ac:dyDescent="0.2">
      <c r="A6" s="176">
        <v>5011</v>
      </c>
      <c r="B6" s="33" t="s">
        <v>88</v>
      </c>
      <c r="C6" s="69">
        <v>32402</v>
      </c>
      <c r="D6" s="69"/>
      <c r="E6" s="242">
        <f t="shared" ref="E6:E11" si="1">SUM(C6:D6)</f>
        <v>32402</v>
      </c>
      <c r="F6" s="152"/>
      <c r="G6" s="242"/>
      <c r="H6" s="69">
        <f>C6+F6</f>
        <v>32402</v>
      </c>
      <c r="I6" s="69">
        <f>D6+G6</f>
        <v>0</v>
      </c>
      <c r="J6" s="242">
        <f t="shared" ref="J6:J11" si="2">SUM(H6:I6)</f>
        <v>32402</v>
      </c>
      <c r="K6" s="536">
        <v>7642.4179999999997</v>
      </c>
      <c r="L6" s="69"/>
      <c r="M6" s="242">
        <f t="shared" ref="M6:M11" si="3">SUM(K6:L6)</f>
        <v>7642.4179999999997</v>
      </c>
      <c r="N6" s="287">
        <f>M6/$J6</f>
        <v>0.23586253934942286</v>
      </c>
      <c r="O6" s="69">
        <v>15306.962</v>
      </c>
      <c r="P6" s="69"/>
      <c r="Q6" s="242">
        <f t="shared" ref="Q6:Q11" si="4">SUM(O6:P6)</f>
        <v>15306.962</v>
      </c>
      <c r="R6" s="287">
        <f>Q6/$J6</f>
        <v>0.47240793778161838</v>
      </c>
      <c r="S6" s="261" t="s">
        <v>240</v>
      </c>
      <c r="T6" s="260" t="s">
        <v>69</v>
      </c>
      <c r="U6" s="293"/>
    </row>
    <row r="7" spans="1:21" x14ac:dyDescent="0.2">
      <c r="A7" s="176">
        <v>5021</v>
      </c>
      <c r="B7" s="33" t="s">
        <v>89</v>
      </c>
      <c r="C7" s="69">
        <v>1070</v>
      </c>
      <c r="D7" s="69"/>
      <c r="E7" s="242">
        <f t="shared" si="1"/>
        <v>1070</v>
      </c>
      <c r="F7" s="152"/>
      <c r="G7" s="242"/>
      <c r="H7" s="69">
        <f t="shared" ref="H7:H39" si="5">C7+F7</f>
        <v>1070</v>
      </c>
      <c r="I7" s="69">
        <f>D7+G7</f>
        <v>0</v>
      </c>
      <c r="J7" s="242">
        <f t="shared" si="2"/>
        <v>1070</v>
      </c>
      <c r="K7" s="536">
        <v>326.952</v>
      </c>
      <c r="L7" s="69"/>
      <c r="M7" s="242">
        <f t="shared" si="3"/>
        <v>326.952</v>
      </c>
      <c r="N7" s="287">
        <f t="shared" ref="N7:N39" si="6">M7/$J7</f>
        <v>0.30556261682242991</v>
      </c>
      <c r="O7" s="69">
        <v>683.31200000000001</v>
      </c>
      <c r="P7" s="69"/>
      <c r="Q7" s="242">
        <f t="shared" si="4"/>
        <v>683.31200000000001</v>
      </c>
      <c r="R7" s="287">
        <f t="shared" ref="R7:R39" si="7">Q7/$J7</f>
        <v>0.63860934579439255</v>
      </c>
      <c r="S7" s="261" t="s">
        <v>240</v>
      </c>
      <c r="T7" s="260" t="s">
        <v>69</v>
      </c>
    </row>
    <row r="8" spans="1:21" x14ac:dyDescent="0.2">
      <c r="A8" s="176">
        <v>5031</v>
      </c>
      <c r="B8" s="33" t="s">
        <v>90</v>
      </c>
      <c r="C8" s="69">
        <v>8321</v>
      </c>
      <c r="D8" s="69"/>
      <c r="E8" s="242">
        <f t="shared" si="1"/>
        <v>8321</v>
      </c>
      <c r="F8" s="152"/>
      <c r="G8" s="242"/>
      <c r="H8" s="69">
        <f t="shared" si="5"/>
        <v>8321</v>
      </c>
      <c r="I8" s="69">
        <f>SUM(I9:I12)</f>
        <v>0</v>
      </c>
      <c r="J8" s="242">
        <f t="shared" si="2"/>
        <v>8321</v>
      </c>
      <c r="K8" s="536">
        <v>1956.28</v>
      </c>
      <c r="L8" s="69"/>
      <c r="M8" s="242">
        <f t="shared" si="3"/>
        <v>1956.28</v>
      </c>
      <c r="N8" s="287">
        <f t="shared" si="6"/>
        <v>0.23510155029443577</v>
      </c>
      <c r="O8" s="69">
        <v>3977.4090000000001</v>
      </c>
      <c r="P8" s="69"/>
      <c r="Q8" s="242">
        <f t="shared" si="4"/>
        <v>3977.4090000000001</v>
      </c>
      <c r="R8" s="287">
        <f t="shared" si="7"/>
        <v>0.47799651484196615</v>
      </c>
      <c r="S8" s="261" t="s">
        <v>240</v>
      </c>
      <c r="T8" s="260" t="s">
        <v>69</v>
      </c>
    </row>
    <row r="9" spans="1:21" x14ac:dyDescent="0.2">
      <c r="A9" s="176">
        <v>5032</v>
      </c>
      <c r="B9" s="33" t="s">
        <v>91</v>
      </c>
      <c r="C9" s="69">
        <v>3019</v>
      </c>
      <c r="D9" s="69"/>
      <c r="E9" s="242">
        <f t="shared" si="1"/>
        <v>3019</v>
      </c>
      <c r="F9" s="152"/>
      <c r="G9" s="242"/>
      <c r="H9" s="69">
        <f t="shared" si="5"/>
        <v>3019</v>
      </c>
      <c r="I9" s="69">
        <f>D9+G9</f>
        <v>0</v>
      </c>
      <c r="J9" s="242">
        <f t="shared" si="2"/>
        <v>3019</v>
      </c>
      <c r="K9" s="536">
        <v>712.41899999999998</v>
      </c>
      <c r="L9" s="69"/>
      <c r="M9" s="242">
        <f t="shared" si="3"/>
        <v>712.41899999999998</v>
      </c>
      <c r="N9" s="287">
        <f t="shared" si="6"/>
        <v>0.23597846969195097</v>
      </c>
      <c r="O9" s="69">
        <v>1443.742</v>
      </c>
      <c r="P9" s="69"/>
      <c r="Q9" s="242">
        <f t="shared" si="4"/>
        <v>1443.742</v>
      </c>
      <c r="R9" s="287">
        <f t="shared" si="7"/>
        <v>0.4782186154355747</v>
      </c>
      <c r="S9" s="261" t="s">
        <v>240</v>
      </c>
      <c r="T9" s="260" t="s">
        <v>69</v>
      </c>
    </row>
    <row r="10" spans="1:21" x14ac:dyDescent="0.2">
      <c r="A10" s="176">
        <v>5038</v>
      </c>
      <c r="B10" s="33" t="s">
        <v>92</v>
      </c>
      <c r="C10" s="69">
        <v>139</v>
      </c>
      <c r="D10" s="69"/>
      <c r="E10" s="242">
        <f t="shared" si="1"/>
        <v>139</v>
      </c>
      <c r="F10" s="152"/>
      <c r="G10" s="242"/>
      <c r="H10" s="69">
        <f t="shared" si="5"/>
        <v>139</v>
      </c>
      <c r="I10" s="69">
        <f t="shared" ref="I10:I39" si="8">D10+G10</f>
        <v>0</v>
      </c>
      <c r="J10" s="242">
        <f t="shared" si="2"/>
        <v>139</v>
      </c>
      <c r="K10" s="536">
        <v>45.070999999999998</v>
      </c>
      <c r="L10" s="69"/>
      <c r="M10" s="242">
        <f t="shared" si="3"/>
        <v>45.070999999999998</v>
      </c>
      <c r="N10" s="287">
        <f t="shared" si="6"/>
        <v>0.32425179856115105</v>
      </c>
      <c r="O10" s="69">
        <v>78.796000000000006</v>
      </c>
      <c r="P10" s="69"/>
      <c r="Q10" s="242">
        <f t="shared" si="4"/>
        <v>78.796000000000006</v>
      </c>
      <c r="R10" s="287">
        <f t="shared" si="7"/>
        <v>0.5668776978417267</v>
      </c>
      <c r="S10" s="261" t="s">
        <v>240</v>
      </c>
      <c r="T10" s="260" t="s">
        <v>69</v>
      </c>
    </row>
    <row r="11" spans="1:21" x14ac:dyDescent="0.2">
      <c r="A11" s="177">
        <v>5424</v>
      </c>
      <c r="B11" s="35" t="s">
        <v>234</v>
      </c>
      <c r="C11" s="71">
        <v>207</v>
      </c>
      <c r="D11" s="71"/>
      <c r="E11" s="243">
        <f t="shared" si="1"/>
        <v>207</v>
      </c>
      <c r="F11" s="157"/>
      <c r="G11" s="243"/>
      <c r="H11" s="71">
        <f t="shared" si="5"/>
        <v>207</v>
      </c>
      <c r="I11" s="71">
        <f t="shared" si="8"/>
        <v>0</v>
      </c>
      <c r="J11" s="243">
        <f t="shared" si="2"/>
        <v>207</v>
      </c>
      <c r="K11" s="537">
        <v>51.009</v>
      </c>
      <c r="L11" s="71"/>
      <c r="M11" s="243">
        <f t="shared" si="3"/>
        <v>51.009</v>
      </c>
      <c r="N11" s="288">
        <f t="shared" si="6"/>
        <v>0.24642028985507247</v>
      </c>
      <c r="O11" s="71">
        <v>91.525999999999996</v>
      </c>
      <c r="P11" s="71"/>
      <c r="Q11" s="243">
        <f t="shared" si="4"/>
        <v>91.525999999999996</v>
      </c>
      <c r="R11" s="288">
        <f t="shared" si="7"/>
        <v>0.44215458937198066</v>
      </c>
      <c r="S11" s="273" t="s">
        <v>240</v>
      </c>
      <c r="T11" s="272" t="s">
        <v>69</v>
      </c>
    </row>
    <row r="12" spans="1:21" x14ac:dyDescent="0.2">
      <c r="A12" s="90"/>
      <c r="B12" s="32" t="s">
        <v>93</v>
      </c>
      <c r="C12" s="19">
        <f>SUM(C13:C16)</f>
        <v>567</v>
      </c>
      <c r="D12" s="19">
        <f t="shared" ref="D12" si="9">SUM(D14:D16)</f>
        <v>0</v>
      </c>
      <c r="E12" s="244">
        <f>SUM(E13:E16)</f>
        <v>567</v>
      </c>
      <c r="F12" s="19">
        <f>SUM(F14:F16)</f>
        <v>0</v>
      </c>
      <c r="G12" s="244">
        <f>SUM(G14:G16)</f>
        <v>0</v>
      </c>
      <c r="H12" s="19">
        <f>SUM(H13:H16)</f>
        <v>567</v>
      </c>
      <c r="I12" s="19">
        <f t="shared" ref="I12" si="10">SUM(I14:I16)</f>
        <v>0</v>
      </c>
      <c r="J12" s="244">
        <f>SUM(J13:J16)</f>
        <v>567</v>
      </c>
      <c r="K12" s="538">
        <f t="shared" ref="K12:L12" si="11">SUM(K13:K16)</f>
        <v>81.39376</v>
      </c>
      <c r="L12" s="19">
        <f t="shared" si="11"/>
        <v>0</v>
      </c>
      <c r="M12" s="244">
        <f>SUM(M14:M16)</f>
        <v>81.39376</v>
      </c>
      <c r="N12" s="292">
        <f>M12/$J12</f>
        <v>0.1435516049382716</v>
      </c>
      <c r="O12" s="19">
        <f t="shared" ref="O12:P12" si="12">SUM(O13:O16)</f>
        <v>294.66307</v>
      </c>
      <c r="P12" s="19">
        <f t="shared" si="12"/>
        <v>0</v>
      </c>
      <c r="Q12" s="244">
        <f>SUM(Q14:Q16)</f>
        <v>294.66307</v>
      </c>
      <c r="R12" s="292">
        <f>Q12/$J12</f>
        <v>0.51968795414462077</v>
      </c>
      <c r="S12" s="316"/>
      <c r="T12" s="317"/>
    </row>
    <row r="13" spans="1:21" s="340" customFormat="1" x14ac:dyDescent="0.2">
      <c r="A13" s="176">
        <v>5132</v>
      </c>
      <c r="B13" s="33" t="s">
        <v>462</v>
      </c>
      <c r="C13" s="69">
        <v>20</v>
      </c>
      <c r="D13" s="69"/>
      <c r="E13" s="242">
        <f>SUM(C13:D13)</f>
        <v>20</v>
      </c>
      <c r="F13" s="69"/>
      <c r="G13" s="242"/>
      <c r="H13" s="69">
        <f t="shared" si="5"/>
        <v>20</v>
      </c>
      <c r="I13" s="69"/>
      <c r="J13" s="242">
        <f t="shared" ref="J13:J39" si="13">SUM(H13:I13)</f>
        <v>20</v>
      </c>
      <c r="K13" s="536"/>
      <c r="L13" s="69"/>
      <c r="M13" s="242"/>
      <c r="N13" s="287"/>
      <c r="O13" s="69">
        <v>0</v>
      </c>
      <c r="P13" s="69"/>
      <c r="Q13" s="242"/>
      <c r="R13" s="287"/>
      <c r="S13" s="261" t="s">
        <v>240</v>
      </c>
      <c r="T13" s="260" t="s">
        <v>69</v>
      </c>
    </row>
    <row r="14" spans="1:21" x14ac:dyDescent="0.2">
      <c r="A14" s="176">
        <v>5136</v>
      </c>
      <c r="B14" s="33" t="s">
        <v>116</v>
      </c>
      <c r="C14" s="69">
        <v>25</v>
      </c>
      <c r="D14" s="69"/>
      <c r="E14" s="242">
        <f>SUM(C14:D14)</f>
        <v>25</v>
      </c>
      <c r="F14" s="152"/>
      <c r="G14" s="242"/>
      <c r="H14" s="69">
        <f t="shared" si="5"/>
        <v>25</v>
      </c>
      <c r="I14" s="69">
        <f t="shared" si="8"/>
        <v>0</v>
      </c>
      <c r="J14" s="242">
        <f t="shared" si="13"/>
        <v>25</v>
      </c>
      <c r="K14" s="536">
        <v>4.9050000000000002</v>
      </c>
      <c r="L14" s="69"/>
      <c r="M14" s="242">
        <f>SUM(K14:L14)</f>
        <v>4.9050000000000002</v>
      </c>
      <c r="N14" s="287">
        <f t="shared" si="6"/>
        <v>0.19620000000000001</v>
      </c>
      <c r="O14" s="69">
        <v>12.824999999999999</v>
      </c>
      <c r="P14" s="69"/>
      <c r="Q14" s="242">
        <f>SUM(O14:P14)</f>
        <v>12.824999999999999</v>
      </c>
      <c r="R14" s="287">
        <f t="shared" si="7"/>
        <v>0.51300000000000001</v>
      </c>
      <c r="S14" s="261" t="s">
        <v>240</v>
      </c>
      <c r="T14" s="260" t="s">
        <v>69</v>
      </c>
    </row>
    <row r="15" spans="1:21" x14ac:dyDescent="0.2">
      <c r="A15" s="176">
        <v>5137</v>
      </c>
      <c r="B15" s="33" t="s">
        <v>141</v>
      </c>
      <c r="C15" s="69">
        <v>154</v>
      </c>
      <c r="D15" s="69"/>
      <c r="E15" s="242">
        <f>SUM(C15:D15)</f>
        <v>154</v>
      </c>
      <c r="F15" s="152"/>
      <c r="G15" s="242"/>
      <c r="H15" s="69">
        <f t="shared" si="5"/>
        <v>154</v>
      </c>
      <c r="I15" s="69">
        <f t="shared" si="8"/>
        <v>0</v>
      </c>
      <c r="J15" s="242">
        <f t="shared" si="13"/>
        <v>154</v>
      </c>
      <c r="K15" s="536">
        <v>11.97</v>
      </c>
      <c r="L15" s="69"/>
      <c r="M15" s="242">
        <f>SUM(K15:L15)</f>
        <v>11.97</v>
      </c>
      <c r="N15" s="287">
        <f t="shared" si="6"/>
        <v>7.7727272727272728E-2</v>
      </c>
      <c r="O15" s="69">
        <v>41.12</v>
      </c>
      <c r="P15" s="69"/>
      <c r="Q15" s="242">
        <f>SUM(O15:P15)</f>
        <v>41.12</v>
      </c>
      <c r="R15" s="287">
        <f t="shared" si="7"/>
        <v>0.26701298701298698</v>
      </c>
      <c r="S15" s="212" t="s">
        <v>425</v>
      </c>
      <c r="T15" s="201" t="s">
        <v>68</v>
      </c>
    </row>
    <row r="16" spans="1:21" x14ac:dyDescent="0.2">
      <c r="A16" s="177">
        <v>5139</v>
      </c>
      <c r="B16" s="35" t="s">
        <v>94</v>
      </c>
      <c r="C16" s="71">
        <f>328+40</f>
        <v>368</v>
      </c>
      <c r="D16" s="71"/>
      <c r="E16" s="243">
        <f>SUM(C16:D16)</f>
        <v>368</v>
      </c>
      <c r="F16" s="157"/>
      <c r="G16" s="243"/>
      <c r="H16" s="71">
        <f t="shared" si="5"/>
        <v>368</v>
      </c>
      <c r="I16" s="71">
        <f t="shared" si="8"/>
        <v>0</v>
      </c>
      <c r="J16" s="243">
        <f t="shared" si="13"/>
        <v>368</v>
      </c>
      <c r="K16" s="537">
        <v>64.51876</v>
      </c>
      <c r="L16" s="71"/>
      <c r="M16" s="243">
        <f>SUM(K16:L16)</f>
        <v>64.51876</v>
      </c>
      <c r="N16" s="287">
        <f t="shared" si="6"/>
        <v>0.17532271739130434</v>
      </c>
      <c r="O16" s="71">
        <v>240.71807000000001</v>
      </c>
      <c r="P16" s="71"/>
      <c r="Q16" s="243">
        <f>SUM(O16:P16)</f>
        <v>240.71807000000001</v>
      </c>
      <c r="R16" s="287">
        <f t="shared" si="7"/>
        <v>0.65412519021739135</v>
      </c>
      <c r="S16" s="273" t="s">
        <v>240</v>
      </c>
      <c r="T16" s="272" t="s">
        <v>69</v>
      </c>
    </row>
    <row r="17" spans="1:20" x14ac:dyDescent="0.2">
      <c r="A17" s="90"/>
      <c r="B17" s="32" t="s">
        <v>95</v>
      </c>
      <c r="C17" s="19">
        <f t="shared" ref="C17:D17" si="14">SUM(C18:C21)</f>
        <v>1277</v>
      </c>
      <c r="D17" s="18">
        <f t="shared" si="14"/>
        <v>0</v>
      </c>
      <c r="E17" s="57">
        <f>SUM(E18:E21)</f>
        <v>1277</v>
      </c>
      <c r="F17" s="18">
        <f>SUM(F18:F21)</f>
        <v>0</v>
      </c>
      <c r="G17" s="57">
        <f>SUM(G18:G21)</f>
        <v>0</v>
      </c>
      <c r="H17" s="19">
        <f t="shared" ref="H17:L17" si="15">SUM(H18:H21)</f>
        <v>1277</v>
      </c>
      <c r="I17" s="18">
        <f t="shared" si="15"/>
        <v>0</v>
      </c>
      <c r="J17" s="57">
        <f t="shared" si="15"/>
        <v>1277</v>
      </c>
      <c r="K17" s="538">
        <f t="shared" si="15"/>
        <v>407.53323</v>
      </c>
      <c r="L17" s="18">
        <f t="shared" si="15"/>
        <v>0</v>
      </c>
      <c r="M17" s="57">
        <f>SUM(M18:M21)</f>
        <v>407.53323</v>
      </c>
      <c r="N17" s="292">
        <f>M17/$J17</f>
        <v>0.31913330462020362</v>
      </c>
      <c r="O17" s="19">
        <f t="shared" ref="O17:P17" si="16">SUM(O18:O21)</f>
        <v>718.85951</v>
      </c>
      <c r="P17" s="18">
        <f t="shared" si="16"/>
        <v>0</v>
      </c>
      <c r="Q17" s="57">
        <f>SUM(Q18:Q21)</f>
        <v>718.85951</v>
      </c>
      <c r="R17" s="292">
        <f>Q17/$J17</f>
        <v>0.56292835552075171</v>
      </c>
      <c r="S17" s="316"/>
      <c r="T17" s="317"/>
    </row>
    <row r="18" spans="1:20" x14ac:dyDescent="0.2">
      <c r="A18" s="176">
        <v>5151</v>
      </c>
      <c r="B18" s="33" t="s">
        <v>96</v>
      </c>
      <c r="C18" s="69">
        <v>145</v>
      </c>
      <c r="D18" s="69"/>
      <c r="E18" s="242">
        <f>SUM(C18:D18)</f>
        <v>145</v>
      </c>
      <c r="F18" s="69"/>
      <c r="G18" s="242"/>
      <c r="H18" s="69">
        <f t="shared" si="5"/>
        <v>145</v>
      </c>
      <c r="I18" s="69">
        <f t="shared" si="8"/>
        <v>0</v>
      </c>
      <c r="J18" s="242">
        <f t="shared" si="13"/>
        <v>145</v>
      </c>
      <c r="K18" s="536">
        <v>30.946000000000002</v>
      </c>
      <c r="L18" s="69"/>
      <c r="M18" s="242">
        <f>SUM(K18:L18)</f>
        <v>30.946000000000002</v>
      </c>
      <c r="N18" s="287">
        <f t="shared" si="6"/>
        <v>0.21342068965517241</v>
      </c>
      <c r="O18" s="69">
        <v>86.227999999999994</v>
      </c>
      <c r="P18" s="69"/>
      <c r="Q18" s="242">
        <f>SUM(O18:P18)</f>
        <v>86.227999999999994</v>
      </c>
      <c r="R18" s="287">
        <f t="shared" si="7"/>
        <v>0.5946758620689655</v>
      </c>
      <c r="S18" s="212" t="s">
        <v>425</v>
      </c>
      <c r="T18" s="201" t="s">
        <v>68</v>
      </c>
    </row>
    <row r="19" spans="1:20" x14ac:dyDescent="0.2">
      <c r="A19" s="176">
        <v>5152.3</v>
      </c>
      <c r="B19" s="33" t="s">
        <v>125</v>
      </c>
      <c r="C19" s="69">
        <v>476</v>
      </c>
      <c r="D19" s="69"/>
      <c r="E19" s="242">
        <f>SUM(C19:D19)</f>
        <v>476</v>
      </c>
      <c r="F19" s="69"/>
      <c r="G19" s="242"/>
      <c r="H19" s="69">
        <f t="shared" si="5"/>
        <v>476</v>
      </c>
      <c r="I19" s="69">
        <f t="shared" si="8"/>
        <v>0</v>
      </c>
      <c r="J19" s="242">
        <f t="shared" si="13"/>
        <v>476</v>
      </c>
      <c r="K19" s="536">
        <v>156.77379999999999</v>
      </c>
      <c r="L19" s="69"/>
      <c r="M19" s="242">
        <f>SUM(K19:L19)</f>
        <v>156.77379999999999</v>
      </c>
      <c r="N19" s="287">
        <f t="shared" si="6"/>
        <v>0.32935672268907562</v>
      </c>
      <c r="O19" s="69">
        <v>275.57380000000001</v>
      </c>
      <c r="P19" s="69"/>
      <c r="Q19" s="242">
        <f>SUM(O19:P19)</f>
        <v>275.57380000000001</v>
      </c>
      <c r="R19" s="287">
        <f t="shared" si="7"/>
        <v>0.57893655462184879</v>
      </c>
      <c r="S19" s="212" t="s">
        <v>311</v>
      </c>
      <c r="T19" s="201" t="s">
        <v>68</v>
      </c>
    </row>
    <row r="20" spans="1:20" x14ac:dyDescent="0.2">
      <c r="A20" s="176">
        <v>5154</v>
      </c>
      <c r="B20" s="33" t="s">
        <v>97</v>
      </c>
      <c r="C20" s="69">
        <v>558</v>
      </c>
      <c r="D20" s="69"/>
      <c r="E20" s="242">
        <f>SUM(C20:D20)</f>
        <v>558</v>
      </c>
      <c r="F20" s="69"/>
      <c r="G20" s="242"/>
      <c r="H20" s="69">
        <f t="shared" si="5"/>
        <v>558</v>
      </c>
      <c r="I20" s="69">
        <f t="shared" si="8"/>
        <v>0</v>
      </c>
      <c r="J20" s="242">
        <f t="shared" si="13"/>
        <v>558</v>
      </c>
      <c r="K20" s="536">
        <v>204.80136999999999</v>
      </c>
      <c r="L20" s="69"/>
      <c r="M20" s="242">
        <f>SUM(K20:L20)</f>
        <v>204.80136999999999</v>
      </c>
      <c r="N20" s="287">
        <f t="shared" si="6"/>
        <v>0.36702754480286737</v>
      </c>
      <c r="O20" s="69">
        <v>298.15620999999999</v>
      </c>
      <c r="P20" s="69"/>
      <c r="Q20" s="242">
        <f>SUM(O20:P20)</f>
        <v>298.15620999999999</v>
      </c>
      <c r="R20" s="287">
        <f t="shared" si="7"/>
        <v>0.5343301254480286</v>
      </c>
      <c r="S20" s="212" t="s">
        <v>311</v>
      </c>
      <c r="T20" s="201" t="s">
        <v>68</v>
      </c>
    </row>
    <row r="21" spans="1:20" x14ac:dyDescent="0.2">
      <c r="A21" s="177">
        <v>5156</v>
      </c>
      <c r="B21" s="35" t="s">
        <v>193</v>
      </c>
      <c r="C21" s="71">
        <v>98</v>
      </c>
      <c r="D21" s="71"/>
      <c r="E21" s="243">
        <f>SUM(C21:D21)</f>
        <v>98</v>
      </c>
      <c r="F21" s="71"/>
      <c r="G21" s="243"/>
      <c r="H21" s="71">
        <f t="shared" si="5"/>
        <v>98</v>
      </c>
      <c r="I21" s="71">
        <f t="shared" si="8"/>
        <v>0</v>
      </c>
      <c r="J21" s="243">
        <f t="shared" si="13"/>
        <v>98</v>
      </c>
      <c r="K21" s="537">
        <v>15.01206</v>
      </c>
      <c r="L21" s="71"/>
      <c r="M21" s="243">
        <f>SUM(K21:L21)</f>
        <v>15.01206</v>
      </c>
      <c r="N21" s="287">
        <f t="shared" si="6"/>
        <v>0.15318428571428572</v>
      </c>
      <c r="O21" s="71">
        <v>58.901499999999999</v>
      </c>
      <c r="P21" s="71"/>
      <c r="Q21" s="243">
        <f>SUM(O21:P21)</f>
        <v>58.901499999999999</v>
      </c>
      <c r="R21" s="287">
        <f t="shared" si="7"/>
        <v>0.60103571428571423</v>
      </c>
      <c r="S21" s="210" t="s">
        <v>180</v>
      </c>
      <c r="T21" s="203" t="s">
        <v>68</v>
      </c>
    </row>
    <row r="22" spans="1:20" x14ac:dyDescent="0.2">
      <c r="A22" s="90"/>
      <c r="B22" s="32" t="s">
        <v>98</v>
      </c>
      <c r="C22" s="19">
        <f>SUM(C23:C28)</f>
        <v>2771</v>
      </c>
      <c r="D22" s="19">
        <f>SUM(D23:D28)</f>
        <v>0</v>
      </c>
      <c r="E22" s="244">
        <f>SUM(E23:E28)</f>
        <v>2771</v>
      </c>
      <c r="F22" s="19">
        <f>SUM(F23:F28)</f>
        <v>-22</v>
      </c>
      <c r="G22" s="244">
        <f t="shared" ref="G22:J22" si="17">SUM(G23:G28)</f>
        <v>0</v>
      </c>
      <c r="H22" s="19">
        <f t="shared" si="17"/>
        <v>2749</v>
      </c>
      <c r="I22" s="19">
        <f t="shared" si="17"/>
        <v>0</v>
      </c>
      <c r="J22" s="244">
        <f t="shared" si="17"/>
        <v>2749</v>
      </c>
      <c r="K22" s="538">
        <f>SUM(K23:K28)</f>
        <v>684.77988000000005</v>
      </c>
      <c r="L22" s="19">
        <f>SUM(L23:L28)</f>
        <v>0</v>
      </c>
      <c r="M22" s="244">
        <f>SUM(M23:M28)</f>
        <v>684.77988000000005</v>
      </c>
      <c r="N22" s="292">
        <f>M22/$J22</f>
        <v>0.24910144779919974</v>
      </c>
      <c r="O22" s="19">
        <f>SUM(O23:O28)</f>
        <v>1313.75674</v>
      </c>
      <c r="P22" s="19">
        <f>SUM(P23:P28)</f>
        <v>0</v>
      </c>
      <c r="Q22" s="244">
        <f>SUM(Q23:Q28)</f>
        <v>1313.75674</v>
      </c>
      <c r="R22" s="292">
        <f>Q22/$J22</f>
        <v>0.47790350672971993</v>
      </c>
      <c r="S22" s="316"/>
      <c r="T22" s="317"/>
    </row>
    <row r="23" spans="1:20" x14ac:dyDescent="0.2">
      <c r="A23" s="176">
        <v>5161</v>
      </c>
      <c r="B23" s="33" t="s">
        <v>99</v>
      </c>
      <c r="C23" s="69">
        <v>436</v>
      </c>
      <c r="D23" s="69"/>
      <c r="E23" s="242">
        <f t="shared" ref="E23:E28" si="18">SUM(C23:D23)</f>
        <v>436</v>
      </c>
      <c r="F23" s="69"/>
      <c r="G23" s="242"/>
      <c r="H23" s="69">
        <f t="shared" si="5"/>
        <v>436</v>
      </c>
      <c r="I23" s="69">
        <f t="shared" si="8"/>
        <v>0</v>
      </c>
      <c r="J23" s="242">
        <f t="shared" si="13"/>
        <v>436</v>
      </c>
      <c r="K23" s="536">
        <v>105.4679</v>
      </c>
      <c r="L23" s="69"/>
      <c r="M23" s="242">
        <f t="shared" ref="M23:M28" si="19">SUM(K23:L23)</f>
        <v>105.4679</v>
      </c>
      <c r="N23" s="287">
        <f t="shared" si="6"/>
        <v>0.24189885321100918</v>
      </c>
      <c r="O23" s="69">
        <v>255.89680000000001</v>
      </c>
      <c r="P23" s="69"/>
      <c r="Q23" s="242">
        <f t="shared" ref="Q23:Q28" si="20">SUM(O23:P23)</f>
        <v>255.89680000000001</v>
      </c>
      <c r="R23" s="287">
        <f t="shared" si="7"/>
        <v>0.58691926605504585</v>
      </c>
      <c r="S23" s="212" t="s">
        <v>341</v>
      </c>
      <c r="T23" s="201" t="s">
        <v>68</v>
      </c>
    </row>
    <row r="24" spans="1:20" x14ac:dyDescent="0.2">
      <c r="A24" s="176">
        <v>5162</v>
      </c>
      <c r="B24" s="33" t="s">
        <v>100</v>
      </c>
      <c r="C24" s="69">
        <v>707</v>
      </c>
      <c r="D24" s="69"/>
      <c r="E24" s="242">
        <f t="shared" si="18"/>
        <v>707</v>
      </c>
      <c r="F24" s="69"/>
      <c r="G24" s="242"/>
      <c r="H24" s="69">
        <f t="shared" si="5"/>
        <v>707</v>
      </c>
      <c r="I24" s="69">
        <f t="shared" si="8"/>
        <v>0</v>
      </c>
      <c r="J24" s="242">
        <f t="shared" si="13"/>
        <v>707</v>
      </c>
      <c r="K24" s="536">
        <v>194.55325999999999</v>
      </c>
      <c r="L24" s="69"/>
      <c r="M24" s="242">
        <f t="shared" si="19"/>
        <v>194.55325999999999</v>
      </c>
      <c r="N24" s="287">
        <f t="shared" si="6"/>
        <v>0.27518141442715699</v>
      </c>
      <c r="O24" s="69">
        <v>391.71449999999999</v>
      </c>
      <c r="P24" s="69"/>
      <c r="Q24" s="242">
        <f t="shared" si="20"/>
        <v>391.71449999999999</v>
      </c>
      <c r="R24" s="287">
        <f t="shared" si="7"/>
        <v>0.55405162659123053</v>
      </c>
      <c r="S24" s="212" t="s">
        <v>263</v>
      </c>
      <c r="T24" s="201" t="s">
        <v>68</v>
      </c>
    </row>
    <row r="25" spans="1:20" x14ac:dyDescent="0.2">
      <c r="A25" s="176">
        <v>5163</v>
      </c>
      <c r="B25" s="33" t="s">
        <v>101</v>
      </c>
      <c r="C25" s="69">
        <v>140</v>
      </c>
      <c r="D25" s="69"/>
      <c r="E25" s="242">
        <f t="shared" si="18"/>
        <v>140</v>
      </c>
      <c r="F25" s="69">
        <v>-1</v>
      </c>
      <c r="G25" s="242"/>
      <c r="H25" s="69">
        <f t="shared" si="5"/>
        <v>139</v>
      </c>
      <c r="I25" s="69">
        <f t="shared" si="8"/>
        <v>0</v>
      </c>
      <c r="J25" s="242">
        <f t="shared" si="13"/>
        <v>139</v>
      </c>
      <c r="K25" s="536">
        <v>83.276110000000003</v>
      </c>
      <c r="L25" s="69"/>
      <c r="M25" s="242">
        <f t="shared" si="19"/>
        <v>83.276110000000003</v>
      </c>
      <c r="N25" s="287">
        <f t="shared" si="6"/>
        <v>0.59910870503597125</v>
      </c>
      <c r="O25" s="69">
        <v>92.858509999999995</v>
      </c>
      <c r="P25" s="69"/>
      <c r="Q25" s="242">
        <f t="shared" si="20"/>
        <v>92.858509999999995</v>
      </c>
      <c r="R25" s="287">
        <f t="shared" si="7"/>
        <v>0.66804683453237412</v>
      </c>
      <c r="S25" s="212" t="s">
        <v>425</v>
      </c>
      <c r="T25" s="201" t="s">
        <v>68</v>
      </c>
    </row>
    <row r="26" spans="1:20" x14ac:dyDescent="0.2">
      <c r="A26" s="176">
        <v>5164</v>
      </c>
      <c r="B26" s="33" t="s">
        <v>102</v>
      </c>
      <c r="C26" s="69">
        <v>1</v>
      </c>
      <c r="D26" s="69"/>
      <c r="E26" s="242">
        <f t="shared" si="18"/>
        <v>1</v>
      </c>
      <c r="F26" s="69">
        <v>1</v>
      </c>
      <c r="G26" s="242"/>
      <c r="H26" s="69">
        <f t="shared" si="5"/>
        <v>2</v>
      </c>
      <c r="I26" s="69">
        <f t="shared" si="8"/>
        <v>0</v>
      </c>
      <c r="J26" s="242">
        <f t="shared" si="13"/>
        <v>2</v>
      </c>
      <c r="K26" s="536">
        <v>1.224</v>
      </c>
      <c r="L26" s="69"/>
      <c r="M26" s="242">
        <f t="shared" si="19"/>
        <v>1.224</v>
      </c>
      <c r="N26" s="287">
        <f t="shared" si="6"/>
        <v>0.61199999999999999</v>
      </c>
      <c r="O26" s="69">
        <v>1.5057</v>
      </c>
      <c r="P26" s="69"/>
      <c r="Q26" s="242">
        <f t="shared" si="20"/>
        <v>1.5057</v>
      </c>
      <c r="R26" s="287">
        <f t="shared" si="7"/>
        <v>0.75285000000000002</v>
      </c>
      <c r="S26" s="212" t="s">
        <v>425</v>
      </c>
      <c r="T26" s="201" t="s">
        <v>68</v>
      </c>
    </row>
    <row r="27" spans="1:20" x14ac:dyDescent="0.2">
      <c r="A27" s="176">
        <v>5167</v>
      </c>
      <c r="B27" s="33" t="s">
        <v>103</v>
      </c>
      <c r="C27" s="69">
        <v>685</v>
      </c>
      <c r="D27" s="69"/>
      <c r="E27" s="242">
        <f t="shared" si="18"/>
        <v>685</v>
      </c>
      <c r="F27" s="69"/>
      <c r="G27" s="242"/>
      <c r="H27" s="69">
        <f t="shared" si="5"/>
        <v>685</v>
      </c>
      <c r="I27" s="69">
        <f t="shared" si="8"/>
        <v>0</v>
      </c>
      <c r="J27" s="242">
        <f t="shared" si="13"/>
        <v>685</v>
      </c>
      <c r="K27" s="536">
        <v>142.524</v>
      </c>
      <c r="L27" s="69"/>
      <c r="M27" s="242">
        <f t="shared" si="19"/>
        <v>142.524</v>
      </c>
      <c r="N27" s="287">
        <f t="shared" si="6"/>
        <v>0.20806423357664233</v>
      </c>
      <c r="O27" s="69">
        <v>257.46469999999999</v>
      </c>
      <c r="P27" s="69"/>
      <c r="Q27" s="242">
        <f t="shared" si="20"/>
        <v>257.46469999999999</v>
      </c>
      <c r="R27" s="287">
        <f t="shared" si="7"/>
        <v>0.37586087591240874</v>
      </c>
      <c r="S27" s="261" t="s">
        <v>240</v>
      </c>
      <c r="T27" s="260" t="s">
        <v>69</v>
      </c>
    </row>
    <row r="28" spans="1:20" x14ac:dyDescent="0.2">
      <c r="A28" s="177">
        <v>5169</v>
      </c>
      <c r="B28" s="35" t="s">
        <v>104</v>
      </c>
      <c r="C28" s="157">
        <v>802</v>
      </c>
      <c r="D28" s="71"/>
      <c r="E28" s="243">
        <f t="shared" si="18"/>
        <v>802</v>
      </c>
      <c r="F28" s="71">
        <v>-22</v>
      </c>
      <c r="G28" s="243"/>
      <c r="H28" s="71">
        <f t="shared" si="5"/>
        <v>780</v>
      </c>
      <c r="I28" s="71">
        <f t="shared" si="8"/>
        <v>0</v>
      </c>
      <c r="J28" s="243">
        <f t="shared" si="13"/>
        <v>780</v>
      </c>
      <c r="K28" s="539">
        <f>153.03461+4.7</f>
        <v>157.73460999999998</v>
      </c>
      <c r="L28" s="71"/>
      <c r="M28" s="243">
        <f t="shared" si="19"/>
        <v>157.73460999999998</v>
      </c>
      <c r="N28" s="287">
        <f t="shared" si="6"/>
        <v>0.20222385897435893</v>
      </c>
      <c r="O28" s="157">
        <f>314.31653</f>
        <v>314.31653</v>
      </c>
      <c r="P28" s="71"/>
      <c r="Q28" s="243">
        <f t="shared" si="20"/>
        <v>314.31653</v>
      </c>
      <c r="R28" s="287">
        <f t="shared" si="7"/>
        <v>0.40296991025641027</v>
      </c>
      <c r="S28" s="210" t="s">
        <v>180</v>
      </c>
      <c r="T28" s="203" t="s">
        <v>68</v>
      </c>
    </row>
    <row r="29" spans="1:20" x14ac:dyDescent="0.2">
      <c r="A29" s="90"/>
      <c r="B29" s="32" t="s">
        <v>105</v>
      </c>
      <c r="C29" s="19">
        <f t="shared" ref="C29:D29" si="21">SUM(C30:C34)</f>
        <v>414</v>
      </c>
      <c r="D29" s="19">
        <f t="shared" si="21"/>
        <v>0</v>
      </c>
      <c r="E29" s="244">
        <f>SUM(E30:E34)</f>
        <v>414</v>
      </c>
      <c r="F29" s="19">
        <f>SUM(F30:F34)</f>
        <v>0</v>
      </c>
      <c r="G29" s="244">
        <f t="shared" ref="G29:L29" si="22">SUM(G30:G34)</f>
        <v>0</v>
      </c>
      <c r="H29" s="19">
        <f t="shared" si="22"/>
        <v>414</v>
      </c>
      <c r="I29" s="19">
        <f t="shared" si="22"/>
        <v>0</v>
      </c>
      <c r="J29" s="244">
        <f t="shared" si="22"/>
        <v>414</v>
      </c>
      <c r="K29" s="538">
        <f>SUM(K30:K34)</f>
        <v>161.655</v>
      </c>
      <c r="L29" s="19">
        <f t="shared" si="22"/>
        <v>0</v>
      </c>
      <c r="M29" s="244">
        <f>SUM(M30:M34)</f>
        <v>161.655</v>
      </c>
      <c r="N29" s="292">
        <f>M29/$J29</f>
        <v>0.39047101449275362</v>
      </c>
      <c r="O29" s="19">
        <f t="shared" ref="O29:P29" si="23">SUM(O30:O34)</f>
        <v>204.61099999999999</v>
      </c>
      <c r="P29" s="19">
        <f t="shared" si="23"/>
        <v>0</v>
      </c>
      <c r="Q29" s="244">
        <f>SUM(Q30:Q34)</f>
        <v>204.61099999999999</v>
      </c>
      <c r="R29" s="292">
        <f>Q29/$J29</f>
        <v>0.49422946859903377</v>
      </c>
      <c r="S29" s="316"/>
      <c r="T29" s="317"/>
    </row>
    <row r="30" spans="1:20" x14ac:dyDescent="0.2">
      <c r="A30" s="176">
        <v>5171</v>
      </c>
      <c r="B30" s="33" t="s">
        <v>301</v>
      </c>
      <c r="C30" s="69">
        <v>0</v>
      </c>
      <c r="D30" s="69"/>
      <c r="E30" s="242">
        <f>SUM(C30:D30)</f>
        <v>0</v>
      </c>
      <c r="F30" s="69"/>
      <c r="G30" s="242"/>
      <c r="H30" s="69">
        <f t="shared" si="5"/>
        <v>0</v>
      </c>
      <c r="I30" s="69">
        <f t="shared" si="8"/>
        <v>0</v>
      </c>
      <c r="J30" s="242">
        <f t="shared" si="13"/>
        <v>0</v>
      </c>
      <c r="K30" s="536"/>
      <c r="L30" s="69"/>
      <c r="M30" s="242">
        <f>SUM(K30:L30)</f>
        <v>0</v>
      </c>
      <c r="N30" s="287"/>
      <c r="O30" s="69"/>
      <c r="P30" s="69"/>
      <c r="Q30" s="242">
        <f>SUM(O30:P30)</f>
        <v>0</v>
      </c>
      <c r="R30" s="287"/>
      <c r="S30" s="212" t="s">
        <v>182</v>
      </c>
      <c r="T30" s="201" t="s">
        <v>303</v>
      </c>
    </row>
    <row r="31" spans="1:20" x14ac:dyDescent="0.2">
      <c r="A31" s="176">
        <v>5173</v>
      </c>
      <c r="B31" s="33" t="s">
        <v>106</v>
      </c>
      <c r="C31" s="69">
        <v>153</v>
      </c>
      <c r="D31" s="69"/>
      <c r="E31" s="242">
        <f>SUM(C31:D31)</f>
        <v>153</v>
      </c>
      <c r="F31" s="69"/>
      <c r="G31" s="242"/>
      <c r="H31" s="69">
        <f t="shared" si="5"/>
        <v>153</v>
      </c>
      <c r="I31" s="69">
        <f t="shared" si="8"/>
        <v>0</v>
      </c>
      <c r="J31" s="242">
        <f t="shared" si="13"/>
        <v>153</v>
      </c>
      <c r="K31" s="536">
        <v>14.781000000000001</v>
      </c>
      <c r="L31" s="69"/>
      <c r="M31" s="242">
        <f>SUM(K31:L31)</f>
        <v>14.781000000000001</v>
      </c>
      <c r="N31" s="287">
        <f t="shared" si="6"/>
        <v>9.6607843137254901E-2</v>
      </c>
      <c r="O31" s="69">
        <v>47.064</v>
      </c>
      <c r="P31" s="69"/>
      <c r="Q31" s="242">
        <f>SUM(O31:P31)</f>
        <v>47.064</v>
      </c>
      <c r="R31" s="287">
        <f t="shared" si="7"/>
        <v>0.30760784313725492</v>
      </c>
      <c r="S31" s="318" t="s">
        <v>348</v>
      </c>
      <c r="T31" s="260" t="s">
        <v>69</v>
      </c>
    </row>
    <row r="32" spans="1:20" x14ac:dyDescent="0.2">
      <c r="A32" s="178" t="s">
        <v>461</v>
      </c>
      <c r="B32" s="33" t="s">
        <v>162</v>
      </c>
      <c r="C32" s="69">
        <v>60</v>
      </c>
      <c r="D32" s="69"/>
      <c r="E32" s="58">
        <f>SUM(C32:D32)</f>
        <v>60</v>
      </c>
      <c r="F32" s="69"/>
      <c r="G32" s="242"/>
      <c r="H32" s="17">
        <f t="shared" si="5"/>
        <v>60</v>
      </c>
      <c r="I32" s="16">
        <f t="shared" si="8"/>
        <v>0</v>
      </c>
      <c r="J32" s="58">
        <f t="shared" si="13"/>
        <v>60</v>
      </c>
      <c r="K32" s="536">
        <v>3.601</v>
      </c>
      <c r="L32" s="69"/>
      <c r="M32" s="58">
        <f>SUM(K32:L32)</f>
        <v>3.601</v>
      </c>
      <c r="N32" s="287">
        <f t="shared" si="6"/>
        <v>6.001666666666667E-2</v>
      </c>
      <c r="O32" s="69">
        <v>13.941000000000001</v>
      </c>
      <c r="P32" s="69"/>
      <c r="Q32" s="58">
        <f>SUM(O32:P32)</f>
        <v>13.941000000000001</v>
      </c>
      <c r="R32" s="287">
        <f t="shared" si="7"/>
        <v>0.23235</v>
      </c>
      <c r="S32" s="261" t="s">
        <v>543</v>
      </c>
      <c r="T32" s="260" t="s">
        <v>405</v>
      </c>
    </row>
    <row r="33" spans="1:20" x14ac:dyDescent="0.2">
      <c r="A33" s="176">
        <v>5909</v>
      </c>
      <c r="B33" s="33" t="s">
        <v>392</v>
      </c>
      <c r="C33" s="17"/>
      <c r="D33" s="16"/>
      <c r="E33" s="58">
        <f>SUM(C33:D33)</f>
        <v>0</v>
      </c>
      <c r="F33" s="16"/>
      <c r="G33" s="58"/>
      <c r="H33" s="17">
        <f t="shared" si="5"/>
        <v>0</v>
      </c>
      <c r="I33" s="16">
        <f t="shared" si="8"/>
        <v>0</v>
      </c>
      <c r="J33" s="58">
        <f t="shared" si="13"/>
        <v>0</v>
      </c>
      <c r="K33" s="540"/>
      <c r="L33" s="16"/>
      <c r="M33" s="58">
        <f>SUM(K33:L33)</f>
        <v>0</v>
      </c>
      <c r="N33" s="287"/>
      <c r="O33" s="17"/>
      <c r="P33" s="16"/>
      <c r="Q33" s="58">
        <f>SUM(O33:P33)</f>
        <v>0</v>
      </c>
      <c r="R33" s="287"/>
      <c r="S33" s="261"/>
      <c r="T33" s="260"/>
    </row>
    <row r="34" spans="1:20" x14ac:dyDescent="0.2">
      <c r="A34" s="177">
        <v>5195</v>
      </c>
      <c r="B34" s="35" t="s">
        <v>140</v>
      </c>
      <c r="C34" s="71">
        <v>201</v>
      </c>
      <c r="D34" s="71"/>
      <c r="E34" s="243">
        <f>SUM(C34:D34)</f>
        <v>201</v>
      </c>
      <c r="F34" s="71"/>
      <c r="G34" s="243"/>
      <c r="H34" s="71">
        <f t="shared" si="5"/>
        <v>201</v>
      </c>
      <c r="I34" s="71">
        <f t="shared" si="8"/>
        <v>0</v>
      </c>
      <c r="J34" s="243">
        <f t="shared" si="13"/>
        <v>201</v>
      </c>
      <c r="K34" s="537">
        <v>143.273</v>
      </c>
      <c r="L34" s="71"/>
      <c r="M34" s="243">
        <f>SUM(K34:L34)</f>
        <v>143.273</v>
      </c>
      <c r="N34" s="287">
        <f t="shared" si="6"/>
        <v>0.71280099502487559</v>
      </c>
      <c r="O34" s="71">
        <f>0.333+143.273</f>
        <v>143.60599999999999</v>
      </c>
      <c r="P34" s="71"/>
      <c r="Q34" s="243">
        <f>SUM(O34:P34)</f>
        <v>143.60599999999999</v>
      </c>
      <c r="R34" s="287">
        <f t="shared" si="7"/>
        <v>0.71445771144278603</v>
      </c>
      <c r="S34" s="273" t="s">
        <v>240</v>
      </c>
      <c r="T34" s="272" t="s">
        <v>69</v>
      </c>
    </row>
    <row r="35" spans="1:20" x14ac:dyDescent="0.2">
      <c r="A35" s="90"/>
      <c r="B35" s="32" t="s">
        <v>107</v>
      </c>
      <c r="C35" s="19">
        <f t="shared" ref="C35:M35" si="24">SUM(C36:C37)</f>
        <v>953</v>
      </c>
      <c r="D35" s="19">
        <f t="shared" si="24"/>
        <v>0</v>
      </c>
      <c r="E35" s="244">
        <f t="shared" si="24"/>
        <v>953</v>
      </c>
      <c r="F35" s="19">
        <f t="shared" si="24"/>
        <v>0</v>
      </c>
      <c r="G35" s="244">
        <f t="shared" si="24"/>
        <v>0</v>
      </c>
      <c r="H35" s="19">
        <f t="shared" si="24"/>
        <v>953</v>
      </c>
      <c r="I35" s="19">
        <f t="shared" si="24"/>
        <v>0</v>
      </c>
      <c r="J35" s="244">
        <f t="shared" si="24"/>
        <v>953</v>
      </c>
      <c r="K35" s="538">
        <f t="shared" si="24"/>
        <v>48.843060000000001</v>
      </c>
      <c r="L35" s="19">
        <f t="shared" si="24"/>
        <v>0</v>
      </c>
      <c r="M35" s="244">
        <f t="shared" si="24"/>
        <v>48.843060000000001</v>
      </c>
      <c r="N35" s="292">
        <f>M35/$J35</f>
        <v>5.1251899265477442E-2</v>
      </c>
      <c r="O35" s="19">
        <f>SUM(O36:O37)</f>
        <v>460.94434000000001</v>
      </c>
      <c r="P35" s="19">
        <f>SUM(P36:P37)</f>
        <v>0</v>
      </c>
      <c r="Q35" s="244">
        <f>SUM(Q36:Q37)</f>
        <v>460.94434000000001</v>
      </c>
      <c r="R35" s="292">
        <f>Q35/$J35</f>
        <v>0.48367716684155299</v>
      </c>
      <c r="S35" s="316"/>
      <c r="T35" s="317"/>
    </row>
    <row r="36" spans="1:20" x14ac:dyDescent="0.2">
      <c r="A36" s="176">
        <v>5349</v>
      </c>
      <c r="B36" s="33" t="s">
        <v>108</v>
      </c>
      <c r="C36" s="69">
        <f>834+76+35</f>
        <v>945</v>
      </c>
      <c r="D36" s="69"/>
      <c r="E36" s="242">
        <f>SUM(C36:D36)</f>
        <v>945</v>
      </c>
      <c r="F36" s="152"/>
      <c r="G36" s="242"/>
      <c r="H36" s="69">
        <f t="shared" si="5"/>
        <v>945</v>
      </c>
      <c r="I36" s="69">
        <f t="shared" si="8"/>
        <v>0</v>
      </c>
      <c r="J36" s="242">
        <f t="shared" si="13"/>
        <v>945</v>
      </c>
      <c r="K36" s="536">
        <v>44.343060000000001</v>
      </c>
      <c r="L36" s="69"/>
      <c r="M36" s="242">
        <f>SUM(K36:L36)</f>
        <v>44.343060000000001</v>
      </c>
      <c r="N36" s="287">
        <f t="shared" si="6"/>
        <v>4.6923873015873016E-2</v>
      </c>
      <c r="O36" s="69">
        <v>454.94434000000001</v>
      </c>
      <c r="P36" s="69"/>
      <c r="Q36" s="242">
        <f>SUM(O36:P36)</f>
        <v>454.94434000000001</v>
      </c>
      <c r="R36" s="287">
        <f t="shared" si="7"/>
        <v>0.48142258201058202</v>
      </c>
      <c r="S36" s="261" t="s">
        <v>240</v>
      </c>
      <c r="T36" s="260" t="s">
        <v>69</v>
      </c>
    </row>
    <row r="37" spans="1:20" x14ac:dyDescent="0.2">
      <c r="A37" s="177">
        <v>5362</v>
      </c>
      <c r="B37" s="35" t="s">
        <v>109</v>
      </c>
      <c r="C37" s="71">
        <v>8</v>
      </c>
      <c r="D37" s="71"/>
      <c r="E37" s="243">
        <f>SUM(C37:D37)</f>
        <v>8</v>
      </c>
      <c r="F37" s="157"/>
      <c r="G37" s="243"/>
      <c r="H37" s="71">
        <f t="shared" si="5"/>
        <v>8</v>
      </c>
      <c r="I37" s="71">
        <f t="shared" si="8"/>
        <v>0</v>
      </c>
      <c r="J37" s="243">
        <f t="shared" si="13"/>
        <v>8</v>
      </c>
      <c r="K37" s="537">
        <v>4.5</v>
      </c>
      <c r="L37" s="71"/>
      <c r="M37" s="243">
        <f>SUM(K37:L37)</f>
        <v>4.5</v>
      </c>
      <c r="N37" s="287">
        <f t="shared" si="6"/>
        <v>0.5625</v>
      </c>
      <c r="O37" s="71">
        <v>6</v>
      </c>
      <c r="P37" s="71"/>
      <c r="Q37" s="243">
        <f>SUM(O37:P37)</f>
        <v>6</v>
      </c>
      <c r="R37" s="287">
        <f t="shared" si="7"/>
        <v>0.75</v>
      </c>
      <c r="S37" s="210" t="s">
        <v>180</v>
      </c>
      <c r="T37" s="203" t="s">
        <v>68</v>
      </c>
    </row>
    <row r="38" spans="1:20" x14ac:dyDescent="0.2">
      <c r="A38" s="50"/>
      <c r="B38" s="32" t="s">
        <v>110</v>
      </c>
      <c r="C38" s="19">
        <f>SUM(C39:C39)</f>
        <v>0</v>
      </c>
      <c r="D38" s="19">
        <f>SUM(D39:D39)</f>
        <v>450</v>
      </c>
      <c r="E38" s="244">
        <f>SUM(E39:E39)</f>
        <v>450</v>
      </c>
      <c r="F38" s="56"/>
      <c r="G38" s="244">
        <f t="shared" ref="G38:M38" si="25">SUM(G39:G39)</f>
        <v>22</v>
      </c>
      <c r="H38" s="19">
        <f t="shared" si="25"/>
        <v>0</v>
      </c>
      <c r="I38" s="19">
        <f t="shared" si="25"/>
        <v>472</v>
      </c>
      <c r="J38" s="244">
        <f t="shared" si="25"/>
        <v>472</v>
      </c>
      <c r="K38" s="538">
        <f t="shared" si="25"/>
        <v>0</v>
      </c>
      <c r="L38" s="19">
        <f t="shared" si="25"/>
        <v>472.23</v>
      </c>
      <c r="M38" s="244">
        <f t="shared" si="25"/>
        <v>472.23</v>
      </c>
      <c r="N38" s="292">
        <f>M38/$J38</f>
        <v>1.0004872881355933</v>
      </c>
      <c r="O38" s="19">
        <f>SUM(O39:O39)</f>
        <v>0</v>
      </c>
      <c r="P38" s="19">
        <f>SUM(P39:P39)</f>
        <v>472.23</v>
      </c>
      <c r="Q38" s="244">
        <f>SUM(Q39:Q39)</f>
        <v>472.23</v>
      </c>
      <c r="R38" s="292">
        <f>Q38/$J38</f>
        <v>1.0004872881355933</v>
      </c>
      <c r="S38" s="316"/>
      <c r="T38" s="317"/>
    </row>
    <row r="39" spans="1:20" ht="13.5" thickBot="1" x14ac:dyDescent="0.25">
      <c r="A39" s="176">
        <v>6123</v>
      </c>
      <c r="B39" s="33" t="s">
        <v>524</v>
      </c>
      <c r="C39" s="69"/>
      <c r="D39" s="69">
        <v>450</v>
      </c>
      <c r="E39" s="242">
        <f>SUM(C39:D39)</f>
        <v>450</v>
      </c>
      <c r="F39" s="152"/>
      <c r="G39" s="242">
        <v>22</v>
      </c>
      <c r="H39" s="69">
        <f t="shared" si="5"/>
        <v>0</v>
      </c>
      <c r="I39" s="69">
        <f t="shared" si="8"/>
        <v>472</v>
      </c>
      <c r="J39" s="242">
        <f t="shared" si="13"/>
        <v>472</v>
      </c>
      <c r="K39" s="536"/>
      <c r="L39" s="69">
        <v>472.23</v>
      </c>
      <c r="M39" s="242">
        <f>SUM(K39:L39)</f>
        <v>472.23</v>
      </c>
      <c r="N39" s="287">
        <f t="shared" si="6"/>
        <v>1.0004872881355933</v>
      </c>
      <c r="O39" s="69"/>
      <c r="P39" s="69">
        <v>472.23</v>
      </c>
      <c r="Q39" s="242">
        <f>SUM(O39:P39)</f>
        <v>472.23</v>
      </c>
      <c r="R39" s="287">
        <f t="shared" si="7"/>
        <v>1.0004872881355933</v>
      </c>
      <c r="S39" s="212" t="s">
        <v>68</v>
      </c>
      <c r="T39" s="260" t="s">
        <v>69</v>
      </c>
    </row>
    <row r="40" spans="1:20" ht="13.5" thickBot="1" x14ac:dyDescent="0.25">
      <c r="A40" s="179"/>
      <c r="B40" s="313" t="s">
        <v>281</v>
      </c>
      <c r="C40" s="247">
        <f t="shared" ref="C40:M40" si="26">C5+C12+C17+C22+C29+C35+C38</f>
        <v>51140</v>
      </c>
      <c r="D40" s="70">
        <f t="shared" si="26"/>
        <v>450</v>
      </c>
      <c r="E40" s="245">
        <f t="shared" si="26"/>
        <v>51590</v>
      </c>
      <c r="F40" s="158">
        <f t="shared" si="26"/>
        <v>-22</v>
      </c>
      <c r="G40" s="245">
        <f t="shared" si="26"/>
        <v>22</v>
      </c>
      <c r="H40" s="247">
        <f t="shared" si="26"/>
        <v>51118</v>
      </c>
      <c r="I40" s="70">
        <f t="shared" si="26"/>
        <v>472</v>
      </c>
      <c r="J40" s="245">
        <f t="shared" si="26"/>
        <v>51590</v>
      </c>
      <c r="K40" s="541">
        <f t="shared" si="26"/>
        <v>12118.353930000001</v>
      </c>
      <c r="L40" s="70">
        <f t="shared" si="26"/>
        <v>472.23</v>
      </c>
      <c r="M40" s="245">
        <f t="shared" si="26"/>
        <v>12590.583930000001</v>
      </c>
      <c r="N40" s="284">
        <f>M40/$J40</f>
        <v>0.24405086121341346</v>
      </c>
      <c r="O40" s="247">
        <f>O5+O12+O17+O22+O29+O35+O38</f>
        <v>24574.581659999996</v>
      </c>
      <c r="P40" s="70">
        <f>P5+P12+P17+P22+P29+P35+P38</f>
        <v>472.23</v>
      </c>
      <c r="Q40" s="245">
        <f>Q5+Q12+Q17+Q22+Q29+Q35+Q38</f>
        <v>25046.811659999996</v>
      </c>
      <c r="R40" s="284">
        <f>Q40/$J40</f>
        <v>0.4854974153905795</v>
      </c>
      <c r="S40" s="319"/>
      <c r="T40" s="320"/>
    </row>
    <row r="41" spans="1:20" ht="13.5" thickBot="1" x14ac:dyDescent="0.25">
      <c r="K41" s="239"/>
      <c r="L41" s="326"/>
      <c r="M41" s="326"/>
      <c r="N41" s="282"/>
      <c r="O41" s="326"/>
      <c r="P41" s="326"/>
      <c r="Q41" s="326"/>
      <c r="R41" s="282"/>
    </row>
    <row r="42" spans="1:20" ht="13.5" thickBot="1" x14ac:dyDescent="0.25">
      <c r="A42" s="253" t="s">
        <v>285</v>
      </c>
      <c r="B42" s="254" t="s">
        <v>282</v>
      </c>
      <c r="C42" s="257" t="s">
        <v>64</v>
      </c>
      <c r="D42" s="256" t="s">
        <v>65</v>
      </c>
      <c r="E42" s="256" t="s">
        <v>66</v>
      </c>
      <c r="F42" s="253" t="s">
        <v>64</v>
      </c>
      <c r="G42" s="256" t="s">
        <v>65</v>
      </c>
      <c r="H42" s="257" t="s">
        <v>64</v>
      </c>
      <c r="I42" s="256" t="s">
        <v>65</v>
      </c>
      <c r="J42" s="256" t="s">
        <v>66</v>
      </c>
      <c r="K42" s="542" t="s">
        <v>64</v>
      </c>
      <c r="L42" s="256" t="s">
        <v>65</v>
      </c>
      <c r="M42" s="256" t="s">
        <v>66</v>
      </c>
      <c r="N42" s="289" t="s">
        <v>4</v>
      </c>
      <c r="O42" s="257" t="s">
        <v>64</v>
      </c>
      <c r="P42" s="256" t="s">
        <v>65</v>
      </c>
      <c r="Q42" s="256" t="s">
        <v>66</v>
      </c>
      <c r="R42" s="289" t="s">
        <v>4</v>
      </c>
      <c r="S42" s="314"/>
      <c r="T42" s="315"/>
    </row>
    <row r="43" spans="1:20" x14ac:dyDescent="0.2">
      <c r="A43" s="176">
        <v>5137</v>
      </c>
      <c r="B43" s="311" t="s">
        <v>141</v>
      </c>
      <c r="C43" s="69">
        <f>410</f>
        <v>410</v>
      </c>
      <c r="D43" s="69"/>
      <c r="E43" s="242">
        <f t="shared" ref="E43:E49" si="27">SUM(C43:D43)</f>
        <v>410</v>
      </c>
      <c r="F43" s="152"/>
      <c r="G43" s="242"/>
      <c r="H43" s="69">
        <f t="shared" ref="H43:I47" si="28">C43+F43</f>
        <v>410</v>
      </c>
      <c r="I43" s="69">
        <f t="shared" si="28"/>
        <v>0</v>
      </c>
      <c r="J43" s="242">
        <f t="shared" ref="J43:J49" si="29">SUM(H43:I43)</f>
        <v>410</v>
      </c>
      <c r="K43" s="536">
        <v>81.222149999999999</v>
      </c>
      <c r="L43" s="69"/>
      <c r="M43" s="242">
        <f t="shared" ref="M43:M49" si="30">SUM(K43:L43)</f>
        <v>81.222149999999999</v>
      </c>
      <c r="N43" s="287">
        <f>M43/$J43</f>
        <v>0.19810280487804877</v>
      </c>
      <c r="O43" s="69">
        <v>137.69346999999999</v>
      </c>
      <c r="P43" s="69"/>
      <c r="Q43" s="242">
        <f t="shared" ref="Q43:Q49" si="31">SUM(O43:P43)</f>
        <v>137.69346999999999</v>
      </c>
      <c r="R43" s="287">
        <f t="shared" ref="R43:R47" si="32">Q43/$J43</f>
        <v>0.33583773170731707</v>
      </c>
      <c r="S43" s="211" t="s">
        <v>218</v>
      </c>
      <c r="T43" s="317" t="s">
        <v>299</v>
      </c>
    </row>
    <row r="44" spans="1:20" x14ac:dyDescent="0.2">
      <c r="A44" s="176">
        <v>5139</v>
      </c>
      <c r="B44" s="33" t="s">
        <v>94</v>
      </c>
      <c r="C44" s="69">
        <v>890</v>
      </c>
      <c r="D44" s="69"/>
      <c r="E44" s="242">
        <f t="shared" si="27"/>
        <v>890</v>
      </c>
      <c r="F44" s="152"/>
      <c r="G44" s="242"/>
      <c r="H44" s="69">
        <f t="shared" si="28"/>
        <v>890</v>
      </c>
      <c r="I44" s="69">
        <f t="shared" si="28"/>
        <v>0</v>
      </c>
      <c r="J44" s="242">
        <f t="shared" si="29"/>
        <v>890</v>
      </c>
      <c r="K44" s="536">
        <v>246.22041999999999</v>
      </c>
      <c r="L44" s="69"/>
      <c r="M44" s="242">
        <f t="shared" si="30"/>
        <v>246.22041999999999</v>
      </c>
      <c r="N44" s="287">
        <f>M44/$J44</f>
        <v>0.27665215730337078</v>
      </c>
      <c r="O44" s="69">
        <v>615.15069000000005</v>
      </c>
      <c r="P44" s="69"/>
      <c r="Q44" s="242">
        <f t="shared" si="31"/>
        <v>615.15069000000005</v>
      </c>
      <c r="R44" s="287">
        <f t="shared" si="32"/>
        <v>0.69118055056179784</v>
      </c>
      <c r="S44" s="211" t="s">
        <v>218</v>
      </c>
      <c r="T44" s="317" t="s">
        <v>299</v>
      </c>
    </row>
    <row r="45" spans="1:20" x14ac:dyDescent="0.2">
      <c r="A45" s="176">
        <v>5169</v>
      </c>
      <c r="B45" s="33" t="s">
        <v>104</v>
      </c>
      <c r="C45" s="69">
        <v>1090</v>
      </c>
      <c r="D45" s="69"/>
      <c r="E45" s="242">
        <f t="shared" si="27"/>
        <v>1090</v>
      </c>
      <c r="F45" s="152"/>
      <c r="G45" s="242"/>
      <c r="H45" s="69">
        <f t="shared" si="28"/>
        <v>1090</v>
      </c>
      <c r="I45" s="69">
        <f t="shared" si="28"/>
        <v>0</v>
      </c>
      <c r="J45" s="242">
        <f t="shared" si="29"/>
        <v>1090</v>
      </c>
      <c r="K45" s="536">
        <v>270.22185000000002</v>
      </c>
      <c r="L45" s="69"/>
      <c r="M45" s="242">
        <f t="shared" si="30"/>
        <v>270.22185000000002</v>
      </c>
      <c r="N45" s="287">
        <f>M45/$J45</f>
        <v>0.24790995412844039</v>
      </c>
      <c r="O45" s="69">
        <f>904.90983+4.7</f>
        <v>909.6098300000001</v>
      </c>
      <c r="P45" s="69"/>
      <c r="Q45" s="242">
        <f t="shared" si="31"/>
        <v>909.6098300000001</v>
      </c>
      <c r="R45" s="287">
        <f t="shared" si="32"/>
        <v>0.8345044311926606</v>
      </c>
      <c r="S45" s="211" t="s">
        <v>218</v>
      </c>
      <c r="T45" s="317" t="s">
        <v>299</v>
      </c>
    </row>
    <row r="46" spans="1:20" x14ac:dyDescent="0.2">
      <c r="A46" s="176">
        <v>5171</v>
      </c>
      <c r="B46" s="33" t="s">
        <v>149</v>
      </c>
      <c r="C46" s="69">
        <f>320+50</f>
        <v>370</v>
      </c>
      <c r="D46" s="69"/>
      <c r="E46" s="242">
        <f t="shared" si="27"/>
        <v>370</v>
      </c>
      <c r="F46" s="152"/>
      <c r="G46" s="242"/>
      <c r="H46" s="69">
        <f t="shared" si="28"/>
        <v>370</v>
      </c>
      <c r="I46" s="69">
        <f t="shared" si="28"/>
        <v>0</v>
      </c>
      <c r="J46" s="242">
        <f t="shared" si="29"/>
        <v>370</v>
      </c>
      <c r="K46" s="536">
        <v>7.26</v>
      </c>
      <c r="L46" s="69"/>
      <c r="M46" s="242">
        <f t="shared" si="30"/>
        <v>7.26</v>
      </c>
      <c r="N46" s="287">
        <f>M46/$J46</f>
        <v>1.9621621621621621E-2</v>
      </c>
      <c r="O46" s="69">
        <v>94.767200000000003</v>
      </c>
      <c r="P46" s="69"/>
      <c r="Q46" s="242">
        <f t="shared" si="31"/>
        <v>94.767200000000003</v>
      </c>
      <c r="R46" s="287">
        <f t="shared" si="32"/>
        <v>0.25612756756756755</v>
      </c>
      <c r="S46" s="211" t="s">
        <v>218</v>
      </c>
      <c r="T46" s="317" t="s">
        <v>299</v>
      </c>
    </row>
    <row r="47" spans="1:20" x14ac:dyDescent="0.2">
      <c r="A47" s="176">
        <v>5172</v>
      </c>
      <c r="B47" s="33" t="s">
        <v>150</v>
      </c>
      <c r="C47" s="69">
        <f>179+588</f>
        <v>767</v>
      </c>
      <c r="D47" s="69"/>
      <c r="E47" s="242">
        <f t="shared" si="27"/>
        <v>767</v>
      </c>
      <c r="F47" s="152">
        <f>-317-42</f>
        <v>-359</v>
      </c>
      <c r="G47" s="242"/>
      <c r="H47" s="69">
        <f t="shared" si="28"/>
        <v>408</v>
      </c>
      <c r="I47" s="69">
        <f t="shared" si="28"/>
        <v>0</v>
      </c>
      <c r="J47" s="242">
        <f t="shared" si="29"/>
        <v>408</v>
      </c>
      <c r="K47" s="536"/>
      <c r="L47" s="69"/>
      <c r="M47" s="242">
        <f t="shared" si="30"/>
        <v>0</v>
      </c>
      <c r="N47" s="287"/>
      <c r="O47" s="69"/>
      <c r="P47" s="69"/>
      <c r="Q47" s="242">
        <f t="shared" si="31"/>
        <v>0</v>
      </c>
      <c r="R47" s="287">
        <f t="shared" si="32"/>
        <v>0</v>
      </c>
      <c r="S47" s="211" t="s">
        <v>218</v>
      </c>
      <c r="T47" s="317" t="s">
        <v>299</v>
      </c>
    </row>
    <row r="48" spans="1:20" x14ac:dyDescent="0.2">
      <c r="A48" s="176">
        <v>6122</v>
      </c>
      <c r="B48" s="33" t="s">
        <v>330</v>
      </c>
      <c r="C48" s="69"/>
      <c r="D48" s="69"/>
      <c r="E48" s="242">
        <f t="shared" si="27"/>
        <v>0</v>
      </c>
      <c r="F48" s="152"/>
      <c r="G48" s="242">
        <v>42</v>
      </c>
      <c r="H48" s="69">
        <f>C48+F48</f>
        <v>0</v>
      </c>
      <c r="I48" s="69">
        <f>D48+G48</f>
        <v>42</v>
      </c>
      <c r="J48" s="242">
        <f>SUM(H48:I48)</f>
        <v>42</v>
      </c>
      <c r="K48" s="536"/>
      <c r="L48" s="69"/>
      <c r="M48" s="242">
        <f t="shared" si="30"/>
        <v>0</v>
      </c>
      <c r="N48" s="287"/>
      <c r="O48" s="69"/>
      <c r="P48" s="69">
        <v>41.841320000000003</v>
      </c>
      <c r="Q48" s="242">
        <f t="shared" si="31"/>
        <v>41.841320000000003</v>
      </c>
      <c r="R48" s="287"/>
      <c r="S48" s="211" t="s">
        <v>218</v>
      </c>
      <c r="T48" s="317" t="s">
        <v>299</v>
      </c>
    </row>
    <row r="49" spans="1:20" ht="13.5" thickBot="1" x14ac:dyDescent="0.25">
      <c r="A49" s="176">
        <v>6111</v>
      </c>
      <c r="B49" s="312" t="s">
        <v>150</v>
      </c>
      <c r="C49" s="69"/>
      <c r="D49" s="69">
        <v>195</v>
      </c>
      <c r="E49" s="242">
        <f t="shared" si="27"/>
        <v>195</v>
      </c>
      <c r="F49" s="152"/>
      <c r="G49" s="242">
        <f>317</f>
        <v>317</v>
      </c>
      <c r="H49" s="69">
        <f>C49+F49</f>
        <v>0</v>
      </c>
      <c r="I49" s="69">
        <f>D49+G49</f>
        <v>512</v>
      </c>
      <c r="J49" s="242">
        <f t="shared" si="29"/>
        <v>512</v>
      </c>
      <c r="K49" s="536"/>
      <c r="L49" s="69"/>
      <c r="M49" s="242">
        <f t="shared" si="30"/>
        <v>0</v>
      </c>
      <c r="N49" s="287"/>
      <c r="O49" s="69"/>
      <c r="P49" s="69">
        <v>511.57589999999999</v>
      </c>
      <c r="Q49" s="242">
        <f t="shared" si="31"/>
        <v>511.57589999999999</v>
      </c>
      <c r="R49" s="287"/>
      <c r="S49" s="211" t="s">
        <v>218</v>
      </c>
      <c r="T49" s="317" t="s">
        <v>299</v>
      </c>
    </row>
    <row r="50" spans="1:20" ht="13.5" thickBot="1" x14ac:dyDescent="0.25">
      <c r="A50" s="179"/>
      <c r="B50" s="246" t="s">
        <v>283</v>
      </c>
      <c r="C50" s="247">
        <f t="shared" ref="C50:D50" si="33">SUM(C43:C49)</f>
        <v>3527</v>
      </c>
      <c r="D50" s="70">
        <f t="shared" si="33"/>
        <v>195</v>
      </c>
      <c r="E50" s="245">
        <f>SUM(E43:E49)</f>
        <v>3722</v>
      </c>
      <c r="F50" s="158">
        <f t="shared" ref="F50:L50" si="34">SUM(F43:F49)</f>
        <v>-359</v>
      </c>
      <c r="G50" s="245">
        <f t="shared" si="34"/>
        <v>359</v>
      </c>
      <c r="H50" s="247">
        <f t="shared" si="34"/>
        <v>3168</v>
      </c>
      <c r="I50" s="70">
        <f t="shared" si="34"/>
        <v>554</v>
      </c>
      <c r="J50" s="245">
        <f t="shared" si="34"/>
        <v>3722</v>
      </c>
      <c r="K50" s="541">
        <f t="shared" si="34"/>
        <v>604.92442000000005</v>
      </c>
      <c r="L50" s="70">
        <f t="shared" si="34"/>
        <v>0</v>
      </c>
      <c r="M50" s="245">
        <f>SUM(M43:M49)</f>
        <v>604.92442000000005</v>
      </c>
      <c r="N50" s="284">
        <f>M50/$J50</f>
        <v>0.16252671144545944</v>
      </c>
      <c r="O50" s="247">
        <f t="shared" ref="O50:P50" si="35">SUM(O43:O49)</f>
        <v>1757.2211900000002</v>
      </c>
      <c r="P50" s="70">
        <f t="shared" si="35"/>
        <v>553.41722000000004</v>
      </c>
      <c r="Q50" s="245">
        <f>SUM(Q43:Q49)</f>
        <v>2310.63841</v>
      </c>
      <c r="R50" s="284">
        <f>Q50/$J50</f>
        <v>0.6208055910800645</v>
      </c>
      <c r="S50" s="319"/>
      <c r="T50" s="320"/>
    </row>
    <row r="51" spans="1:20" ht="13.5" thickBot="1" x14ac:dyDescent="0.25">
      <c r="K51" s="239"/>
      <c r="L51" s="326"/>
      <c r="M51" s="326"/>
      <c r="N51" s="282"/>
      <c r="O51" s="326"/>
      <c r="P51" s="326"/>
      <c r="Q51" s="326"/>
      <c r="R51" s="282"/>
    </row>
    <row r="52" spans="1:20" ht="13.5" thickBot="1" x14ac:dyDescent="0.25">
      <c r="A52" s="253" t="s">
        <v>286</v>
      </c>
      <c r="B52" s="254" t="s">
        <v>163</v>
      </c>
      <c r="C52" s="257" t="s">
        <v>64</v>
      </c>
      <c r="D52" s="256" t="s">
        <v>65</v>
      </c>
      <c r="E52" s="256" t="s">
        <v>66</v>
      </c>
      <c r="F52" s="253" t="s">
        <v>64</v>
      </c>
      <c r="G52" s="256" t="s">
        <v>65</v>
      </c>
      <c r="H52" s="257" t="s">
        <v>64</v>
      </c>
      <c r="I52" s="256" t="s">
        <v>65</v>
      </c>
      <c r="J52" s="256" t="s">
        <v>66</v>
      </c>
      <c r="K52" s="542" t="s">
        <v>64</v>
      </c>
      <c r="L52" s="256" t="s">
        <v>65</v>
      </c>
      <c r="M52" s="256" t="s">
        <v>66</v>
      </c>
      <c r="N52" s="289" t="s">
        <v>4</v>
      </c>
      <c r="O52" s="257" t="s">
        <v>64</v>
      </c>
      <c r="P52" s="256" t="s">
        <v>65</v>
      </c>
      <c r="Q52" s="256" t="s">
        <v>66</v>
      </c>
      <c r="R52" s="289" t="s">
        <v>4</v>
      </c>
      <c r="S52" s="314"/>
      <c r="T52" s="315"/>
    </row>
    <row r="53" spans="1:20" x14ac:dyDescent="0.2">
      <c r="A53" s="176">
        <v>5169</v>
      </c>
      <c r="B53" s="33" t="s">
        <v>104</v>
      </c>
      <c r="C53" s="69">
        <v>15</v>
      </c>
      <c r="D53" s="69"/>
      <c r="E53" s="242">
        <f>SUM(C53:D53)</f>
        <v>15</v>
      </c>
      <c r="F53" s="152">
        <v>5</v>
      </c>
      <c r="G53" s="242"/>
      <c r="H53" s="69">
        <f>C53+F53</f>
        <v>20</v>
      </c>
      <c r="I53" s="69">
        <f>D53+G53</f>
        <v>0</v>
      </c>
      <c r="J53" s="242">
        <f>SUM(H53:I53)</f>
        <v>20</v>
      </c>
      <c r="K53" s="536">
        <v>11.397270000000001</v>
      </c>
      <c r="L53" s="69"/>
      <c r="M53" s="242">
        <f>SUM(K53:L53)</f>
        <v>11.397270000000001</v>
      </c>
      <c r="N53" s="287">
        <f>M53/$J53</f>
        <v>0.56986350000000008</v>
      </c>
      <c r="O53" s="69">
        <v>36.00864</v>
      </c>
      <c r="P53" s="69"/>
      <c r="Q53" s="242">
        <f>SUM(O53:P53)</f>
        <v>36.00864</v>
      </c>
      <c r="R53" s="287">
        <f>Q53/$J53</f>
        <v>1.800432</v>
      </c>
      <c r="S53" s="211" t="s">
        <v>218</v>
      </c>
      <c r="T53" s="317" t="s">
        <v>300</v>
      </c>
    </row>
    <row r="54" spans="1:20" ht="13.5" thickBot="1" x14ac:dyDescent="0.25">
      <c r="A54" s="298">
        <v>5132</v>
      </c>
      <c r="B54" s="33" t="s">
        <v>462</v>
      </c>
      <c r="C54" s="69">
        <v>25</v>
      </c>
      <c r="D54" s="69"/>
      <c r="E54" s="242">
        <f>SUM(C54:D54)</f>
        <v>25</v>
      </c>
      <c r="F54" s="152">
        <v>-5</v>
      </c>
      <c r="G54" s="242"/>
      <c r="H54" s="69">
        <f>C54+F54</f>
        <v>20</v>
      </c>
      <c r="I54" s="69">
        <f>D54+G54</f>
        <v>0</v>
      </c>
      <c r="J54" s="242">
        <f>SUM(H54:I54)</f>
        <v>20</v>
      </c>
      <c r="K54" s="536"/>
      <c r="L54" s="69"/>
      <c r="M54" s="242">
        <f>SUM(K54:L54)</f>
        <v>0</v>
      </c>
      <c r="N54" s="287"/>
      <c r="O54" s="69"/>
      <c r="P54" s="69"/>
      <c r="Q54" s="242">
        <f>SUM(O54:P54)</f>
        <v>0</v>
      </c>
      <c r="R54" s="287"/>
      <c r="S54" s="211" t="s">
        <v>218</v>
      </c>
      <c r="T54" s="317" t="s">
        <v>300</v>
      </c>
    </row>
    <row r="55" spans="1:20" ht="13.5" thickBot="1" x14ac:dyDescent="0.25">
      <c r="A55" s="179"/>
      <c r="B55" s="313" t="s">
        <v>295</v>
      </c>
      <c r="C55" s="158">
        <f t="shared" ref="C55:D55" si="36">SUM(C53:C54)</f>
        <v>40</v>
      </c>
      <c r="D55" s="70">
        <f t="shared" si="36"/>
        <v>0</v>
      </c>
      <c r="E55" s="245">
        <f>SUM(E53:E54)</f>
        <v>40</v>
      </c>
      <c r="F55" s="158">
        <f t="shared" ref="F55:Q55" si="37">SUM(F53:F54)</f>
        <v>0</v>
      </c>
      <c r="G55" s="245">
        <f t="shared" si="37"/>
        <v>0</v>
      </c>
      <c r="H55" s="247">
        <f t="shared" si="37"/>
        <v>40</v>
      </c>
      <c r="I55" s="70">
        <f t="shared" si="37"/>
        <v>0</v>
      </c>
      <c r="J55" s="245">
        <f t="shared" si="37"/>
        <v>40</v>
      </c>
      <c r="K55" s="541">
        <f t="shared" si="37"/>
        <v>11.397270000000001</v>
      </c>
      <c r="L55" s="70">
        <f t="shared" si="37"/>
        <v>0</v>
      </c>
      <c r="M55" s="245">
        <f t="shared" si="37"/>
        <v>11.397270000000001</v>
      </c>
      <c r="N55" s="284">
        <f>M55/$J55</f>
        <v>0.28493175000000004</v>
      </c>
      <c r="O55" s="247">
        <f t="shared" si="37"/>
        <v>36.00864</v>
      </c>
      <c r="P55" s="70">
        <f t="shared" si="37"/>
        <v>0</v>
      </c>
      <c r="Q55" s="245">
        <f t="shared" si="37"/>
        <v>36.00864</v>
      </c>
      <c r="R55" s="284">
        <f>Q55/$J55</f>
        <v>0.90021600000000002</v>
      </c>
      <c r="S55" s="319"/>
      <c r="T55" s="320"/>
    </row>
    <row r="56" spans="1:20" ht="13.5" thickBot="1" x14ac:dyDescent="0.25">
      <c r="K56" s="239"/>
      <c r="L56" s="326"/>
      <c r="M56" s="326"/>
      <c r="N56" s="282"/>
      <c r="O56" s="326"/>
      <c r="P56" s="326"/>
      <c r="Q56" s="326"/>
      <c r="R56" s="282"/>
    </row>
    <row r="57" spans="1:20" ht="13.5" thickBot="1" x14ac:dyDescent="0.25">
      <c r="A57" s="372" t="s">
        <v>287</v>
      </c>
      <c r="B57" s="254" t="s">
        <v>151</v>
      </c>
      <c r="C57" s="257" t="s">
        <v>64</v>
      </c>
      <c r="D57" s="256" t="s">
        <v>65</v>
      </c>
      <c r="E57" s="256" t="s">
        <v>66</v>
      </c>
      <c r="F57" s="257" t="s">
        <v>64</v>
      </c>
      <c r="G57" s="256" t="s">
        <v>65</v>
      </c>
      <c r="H57" s="257" t="s">
        <v>64</v>
      </c>
      <c r="I57" s="256" t="s">
        <v>65</v>
      </c>
      <c r="J57" s="256" t="s">
        <v>66</v>
      </c>
      <c r="K57" s="542" t="s">
        <v>64</v>
      </c>
      <c r="L57" s="256" t="s">
        <v>65</v>
      </c>
      <c r="M57" s="256" t="s">
        <v>66</v>
      </c>
      <c r="N57" s="289" t="s">
        <v>4</v>
      </c>
      <c r="O57" s="257" t="s">
        <v>64</v>
      </c>
      <c r="P57" s="256" t="s">
        <v>65</v>
      </c>
      <c r="Q57" s="256" t="s">
        <v>66</v>
      </c>
      <c r="R57" s="289" t="s">
        <v>4</v>
      </c>
      <c r="S57" s="314"/>
      <c r="T57" s="315"/>
    </row>
    <row r="58" spans="1:20" x14ac:dyDescent="0.2">
      <c r="A58" s="374">
        <v>5169</v>
      </c>
      <c r="B58" s="371" t="s">
        <v>104</v>
      </c>
      <c r="C58" s="69">
        <v>25</v>
      </c>
      <c r="D58" s="69"/>
      <c r="E58" s="242">
        <f>SUM(C58:D58)</f>
        <v>25</v>
      </c>
      <c r="F58" s="69"/>
      <c r="G58" s="69"/>
      <c r="H58" s="69">
        <f>C58+F58</f>
        <v>25</v>
      </c>
      <c r="I58" s="69">
        <f>D58+G58</f>
        <v>0</v>
      </c>
      <c r="J58" s="242">
        <f>SUM(H58:I58)</f>
        <v>25</v>
      </c>
      <c r="K58" s="536">
        <v>5.0599999999999996</v>
      </c>
      <c r="L58" s="69"/>
      <c r="M58" s="242">
        <f>SUM(K58:L58)</f>
        <v>5.0599999999999996</v>
      </c>
      <c r="N58" s="287">
        <f>M58/$J58</f>
        <v>0.2024</v>
      </c>
      <c r="O58" s="69">
        <v>5.0599999999999996</v>
      </c>
      <c r="P58" s="69"/>
      <c r="Q58" s="242">
        <f>SUM(O58:P58)</f>
        <v>5.0599999999999996</v>
      </c>
      <c r="R58" s="287">
        <f>Q58/$J58</f>
        <v>0.2024</v>
      </c>
      <c r="S58" s="211" t="s">
        <v>218</v>
      </c>
      <c r="T58" s="317" t="s">
        <v>221</v>
      </c>
    </row>
    <row r="59" spans="1:20" s="360" customFormat="1" ht="13.5" thickBot="1" x14ac:dyDescent="0.25">
      <c r="A59" s="375">
        <v>5132</v>
      </c>
      <c r="B59" s="371" t="s">
        <v>462</v>
      </c>
      <c r="C59" s="69">
        <v>25</v>
      </c>
      <c r="D59" s="69"/>
      <c r="E59" s="242">
        <f>SUM(C59:D59)</f>
        <v>25</v>
      </c>
      <c r="F59" s="69"/>
      <c r="G59" s="69"/>
      <c r="H59" s="69">
        <f>C59+F59</f>
        <v>25</v>
      </c>
      <c r="I59" s="69">
        <f>D59+G59</f>
        <v>0</v>
      </c>
      <c r="J59" s="242">
        <f>SUM(H59:I59)</f>
        <v>25</v>
      </c>
      <c r="K59" s="536"/>
      <c r="L59" s="69"/>
      <c r="M59" s="242"/>
      <c r="N59" s="287"/>
      <c r="O59" s="69"/>
      <c r="P59" s="69"/>
      <c r="Q59" s="242"/>
      <c r="R59" s="287"/>
      <c r="S59" s="211" t="s">
        <v>218</v>
      </c>
      <c r="T59" s="317" t="s">
        <v>221</v>
      </c>
    </row>
    <row r="60" spans="1:20" ht="13.5" thickBot="1" x14ac:dyDescent="0.25">
      <c r="A60" s="373"/>
      <c r="B60" s="313" t="s">
        <v>294</v>
      </c>
      <c r="C60" s="247">
        <f>SUM(C58:C59)</f>
        <v>50</v>
      </c>
      <c r="D60" s="70">
        <f t="shared" ref="D60" si="38">SUM(D58:D58)</f>
        <v>0</v>
      </c>
      <c r="E60" s="245">
        <f>SUM(E58:E59)</f>
        <v>50</v>
      </c>
      <c r="F60" s="247">
        <f t="shared" ref="F60:G60" si="39">SUM(F58:F58)</f>
        <v>0</v>
      </c>
      <c r="G60" s="70">
        <f t="shared" si="39"/>
        <v>0</v>
      </c>
      <c r="H60" s="247">
        <f>SUM(H58:H59)</f>
        <v>50</v>
      </c>
      <c r="I60" s="70">
        <f t="shared" ref="I60" si="40">SUM(I58:I58)</f>
        <v>0</v>
      </c>
      <c r="J60" s="245">
        <f>SUM(J58:J59)</f>
        <v>50</v>
      </c>
      <c r="K60" s="541">
        <f>SUM(K58:K59)</f>
        <v>5.0599999999999996</v>
      </c>
      <c r="L60" s="70">
        <f t="shared" ref="L60" si="41">SUM(L58:L58)</f>
        <v>0</v>
      </c>
      <c r="M60" s="245">
        <f>SUM(M58:M59)</f>
        <v>5.0599999999999996</v>
      </c>
      <c r="N60" s="284">
        <f>M60/$J60</f>
        <v>0.1012</v>
      </c>
      <c r="O60" s="247">
        <f>SUM(O58:O59)</f>
        <v>5.0599999999999996</v>
      </c>
      <c r="P60" s="70">
        <f t="shared" ref="P60" si="42">SUM(P58:P58)</f>
        <v>0</v>
      </c>
      <c r="Q60" s="245">
        <f>SUM(Q58:Q59)</f>
        <v>5.0599999999999996</v>
      </c>
      <c r="R60" s="284">
        <f>Q60/$J60</f>
        <v>0.1012</v>
      </c>
      <c r="S60" s="319"/>
      <c r="T60" s="320"/>
    </row>
    <row r="61" spans="1:20" ht="13.5" thickBot="1" x14ac:dyDescent="0.25">
      <c r="K61" s="239"/>
      <c r="L61" s="326"/>
      <c r="M61" s="326"/>
      <c r="N61" s="282"/>
      <c r="O61" s="326"/>
      <c r="P61" s="326"/>
      <c r="Q61" s="326"/>
      <c r="R61" s="282"/>
    </row>
    <row r="62" spans="1:20" ht="13.5" thickBot="1" x14ac:dyDescent="0.25">
      <c r="A62" s="253" t="s">
        <v>288</v>
      </c>
      <c r="B62" s="254" t="s">
        <v>289</v>
      </c>
      <c r="C62" s="257" t="s">
        <v>64</v>
      </c>
      <c r="D62" s="256" t="s">
        <v>65</v>
      </c>
      <c r="E62" s="256" t="s">
        <v>66</v>
      </c>
      <c r="F62" s="253" t="s">
        <v>64</v>
      </c>
      <c r="G62" s="256" t="s">
        <v>65</v>
      </c>
      <c r="H62" s="257" t="s">
        <v>64</v>
      </c>
      <c r="I62" s="256" t="s">
        <v>65</v>
      </c>
      <c r="J62" s="256" t="s">
        <v>66</v>
      </c>
      <c r="K62" s="542" t="s">
        <v>64</v>
      </c>
      <c r="L62" s="256" t="s">
        <v>65</v>
      </c>
      <c r="M62" s="256" t="s">
        <v>66</v>
      </c>
      <c r="N62" s="289" t="s">
        <v>4</v>
      </c>
      <c r="O62" s="257" t="s">
        <v>64</v>
      </c>
      <c r="P62" s="256" t="s">
        <v>65</v>
      </c>
      <c r="Q62" s="256" t="s">
        <v>66</v>
      </c>
      <c r="R62" s="289" t="s">
        <v>4</v>
      </c>
      <c r="S62" s="314"/>
      <c r="T62" s="315"/>
    </row>
    <row r="63" spans="1:20" x14ac:dyDescent="0.2">
      <c r="A63" s="50">
        <v>5134</v>
      </c>
      <c r="B63" s="33" t="s">
        <v>164</v>
      </c>
      <c r="C63" s="69">
        <v>18</v>
      </c>
      <c r="D63" s="69"/>
      <c r="E63" s="242">
        <f>SUM(C63:D63)</f>
        <v>18</v>
      </c>
      <c r="F63" s="152"/>
      <c r="G63" s="242"/>
      <c r="H63" s="69">
        <f t="shared" ref="H63:I65" si="43">C63+F63</f>
        <v>18</v>
      </c>
      <c r="I63" s="69">
        <f t="shared" si="43"/>
        <v>0</v>
      </c>
      <c r="J63" s="242">
        <f>SUM(H63:I63)</f>
        <v>18</v>
      </c>
      <c r="K63" s="536"/>
      <c r="L63" s="69"/>
      <c r="M63" s="242">
        <f>SUM(K63:L63)</f>
        <v>0</v>
      </c>
      <c r="N63" s="287">
        <f>M63/$J63</f>
        <v>0</v>
      </c>
      <c r="O63" s="69">
        <v>5.0789999999999997</v>
      </c>
      <c r="P63" s="69"/>
      <c r="Q63" s="242">
        <f>SUM(O63:P63)</f>
        <v>5.0789999999999997</v>
      </c>
      <c r="R63" s="287">
        <f>Q63/$J63</f>
        <v>0.28216666666666668</v>
      </c>
      <c r="S63" s="211" t="s">
        <v>218</v>
      </c>
      <c r="T63" s="317" t="s">
        <v>236</v>
      </c>
    </row>
    <row r="64" spans="1:20" x14ac:dyDescent="0.2">
      <c r="A64" s="176">
        <v>5137</v>
      </c>
      <c r="B64" s="33" t="s">
        <v>141</v>
      </c>
      <c r="C64" s="69">
        <v>9</v>
      </c>
      <c r="D64" s="69"/>
      <c r="E64" s="242">
        <f>SUM(C64:D64)</f>
        <v>9</v>
      </c>
      <c r="F64" s="152"/>
      <c r="G64" s="242"/>
      <c r="H64" s="69">
        <f t="shared" si="43"/>
        <v>9</v>
      </c>
      <c r="I64" s="69">
        <f t="shared" si="43"/>
        <v>0</v>
      </c>
      <c r="J64" s="242">
        <f>SUM(H64:I64)</f>
        <v>9</v>
      </c>
      <c r="K64" s="536"/>
      <c r="L64" s="69"/>
      <c r="M64" s="242">
        <f>SUM(K64:L64)</f>
        <v>0</v>
      </c>
      <c r="N64" s="287"/>
      <c r="O64" s="69">
        <v>0</v>
      </c>
      <c r="P64" s="69"/>
      <c r="Q64" s="242">
        <f>SUM(O64:P64)</f>
        <v>0</v>
      </c>
      <c r="R64" s="287"/>
      <c r="S64" s="211" t="s">
        <v>218</v>
      </c>
      <c r="T64" s="317" t="s">
        <v>236</v>
      </c>
    </row>
    <row r="65" spans="1:21" ht="13.5" thickBot="1" x14ac:dyDescent="0.25">
      <c r="A65" s="177">
        <v>5169</v>
      </c>
      <c r="B65" s="312" t="s">
        <v>104</v>
      </c>
      <c r="C65" s="69">
        <v>30</v>
      </c>
      <c r="D65" s="69"/>
      <c r="E65" s="242">
        <f>SUM(C65:D65)</f>
        <v>30</v>
      </c>
      <c r="F65" s="152"/>
      <c r="G65" s="242"/>
      <c r="H65" s="69">
        <f t="shared" si="43"/>
        <v>30</v>
      </c>
      <c r="I65" s="69">
        <f t="shared" si="43"/>
        <v>0</v>
      </c>
      <c r="J65" s="242">
        <f>SUM(H65:I65)</f>
        <v>30</v>
      </c>
      <c r="K65" s="536"/>
      <c r="L65" s="69"/>
      <c r="M65" s="242">
        <f>SUM(K65:L65)</f>
        <v>0</v>
      </c>
      <c r="N65" s="287">
        <f>M65/$J65</f>
        <v>0</v>
      </c>
      <c r="O65" s="69">
        <v>4</v>
      </c>
      <c r="P65" s="69"/>
      <c r="Q65" s="242">
        <f>SUM(O65:P65)</f>
        <v>4</v>
      </c>
      <c r="R65" s="287">
        <f>Q65/$J65</f>
        <v>0.13333333333333333</v>
      </c>
      <c r="S65" s="211" t="s">
        <v>218</v>
      </c>
      <c r="T65" s="317" t="s">
        <v>236</v>
      </c>
    </row>
    <row r="66" spans="1:21" ht="13.5" thickBot="1" x14ac:dyDescent="0.25">
      <c r="A66" s="179"/>
      <c r="B66" s="246" t="s">
        <v>293</v>
      </c>
      <c r="C66" s="247">
        <f t="shared" ref="C66:D66" si="44">SUM(C63:C65)</f>
        <v>57</v>
      </c>
      <c r="D66" s="70">
        <f t="shared" si="44"/>
        <v>0</v>
      </c>
      <c r="E66" s="245">
        <f>SUM(E63:E65)</f>
        <v>57</v>
      </c>
      <c r="F66" s="158">
        <f t="shared" ref="F66:L66" si="45">SUM(F63:F65)</f>
        <v>0</v>
      </c>
      <c r="G66" s="245">
        <f t="shared" si="45"/>
        <v>0</v>
      </c>
      <c r="H66" s="247">
        <f t="shared" si="45"/>
        <v>57</v>
      </c>
      <c r="I66" s="70">
        <f t="shared" si="45"/>
        <v>0</v>
      </c>
      <c r="J66" s="245">
        <f t="shared" si="45"/>
        <v>57</v>
      </c>
      <c r="K66" s="541">
        <f t="shared" si="45"/>
        <v>0</v>
      </c>
      <c r="L66" s="70">
        <f t="shared" si="45"/>
        <v>0</v>
      </c>
      <c r="M66" s="245">
        <f>SUM(M63:M65)</f>
        <v>0</v>
      </c>
      <c r="N66" s="284">
        <f>M66/$J66</f>
        <v>0</v>
      </c>
      <c r="O66" s="247">
        <f t="shared" ref="O66:P66" si="46">SUM(O63:O65)</f>
        <v>9.0790000000000006</v>
      </c>
      <c r="P66" s="70">
        <f t="shared" si="46"/>
        <v>0</v>
      </c>
      <c r="Q66" s="245">
        <f>SUM(Q63:Q65)</f>
        <v>9.0790000000000006</v>
      </c>
      <c r="R66" s="284">
        <f>Q66/$J66</f>
        <v>0.15928070175438597</v>
      </c>
      <c r="S66" s="319"/>
      <c r="T66" s="320"/>
    </row>
    <row r="67" spans="1:21" ht="13.5" thickBot="1" x14ac:dyDescent="0.25">
      <c r="K67" s="239"/>
      <c r="L67" s="326"/>
      <c r="M67" s="326"/>
      <c r="N67" s="282"/>
      <c r="O67" s="326"/>
      <c r="P67" s="326"/>
      <c r="Q67" s="326"/>
      <c r="R67" s="282"/>
    </row>
    <row r="68" spans="1:21" ht="13.5" thickBot="1" x14ac:dyDescent="0.25">
      <c r="A68" s="253" t="s">
        <v>290</v>
      </c>
      <c r="B68" s="254" t="s">
        <v>455</v>
      </c>
      <c r="C68" s="257" t="s">
        <v>64</v>
      </c>
      <c r="D68" s="256" t="s">
        <v>65</v>
      </c>
      <c r="E68" s="256" t="s">
        <v>66</v>
      </c>
      <c r="F68" s="253" t="s">
        <v>64</v>
      </c>
      <c r="G68" s="256" t="s">
        <v>65</v>
      </c>
      <c r="H68" s="257" t="s">
        <v>64</v>
      </c>
      <c r="I68" s="256" t="s">
        <v>65</v>
      </c>
      <c r="J68" s="256" t="s">
        <v>66</v>
      </c>
      <c r="K68" s="542" t="s">
        <v>64</v>
      </c>
      <c r="L68" s="256" t="s">
        <v>65</v>
      </c>
      <c r="M68" s="256" t="s">
        <v>66</v>
      </c>
      <c r="N68" s="289" t="s">
        <v>4</v>
      </c>
      <c r="O68" s="257" t="s">
        <v>64</v>
      </c>
      <c r="P68" s="256" t="s">
        <v>65</v>
      </c>
      <c r="Q68" s="256" t="s">
        <v>66</v>
      </c>
      <c r="R68" s="289" t="s">
        <v>4</v>
      </c>
      <c r="S68" s="314"/>
      <c r="T68" s="315"/>
    </row>
    <row r="69" spans="1:21" x14ac:dyDescent="0.2">
      <c r="A69" s="176">
        <v>5011</v>
      </c>
      <c r="B69" s="33" t="s">
        <v>88</v>
      </c>
      <c r="C69" s="69">
        <v>2600</v>
      </c>
      <c r="D69" s="69"/>
      <c r="E69" s="242">
        <f>SUM(C69:D69)</f>
        <v>2600</v>
      </c>
      <c r="F69" s="152"/>
      <c r="G69" s="242"/>
      <c r="H69" s="69">
        <f t="shared" ref="H69:I72" si="47">C69+F69</f>
        <v>2600</v>
      </c>
      <c r="I69" s="69">
        <f t="shared" si="47"/>
        <v>0</v>
      </c>
      <c r="J69" s="242">
        <f>SUM(H69:I69)</f>
        <v>2600</v>
      </c>
      <c r="K69" s="536">
        <v>325.14800000000002</v>
      </c>
      <c r="L69" s="69"/>
      <c r="M69" s="242">
        <f t="shared" ref="M69:M74" si="48">SUM(K69:L69)</f>
        <v>325.14800000000002</v>
      </c>
      <c r="N69" s="287">
        <f>M69/$J69</f>
        <v>0.12505692307692309</v>
      </c>
      <c r="O69" s="69">
        <v>853.42600000000004</v>
      </c>
      <c r="P69" s="69"/>
      <c r="Q69" s="242">
        <f t="shared" ref="Q69:Q74" si="49">SUM(O69:P69)</f>
        <v>853.42600000000004</v>
      </c>
      <c r="R69" s="287">
        <f>Q69/$J69</f>
        <v>0.32824076923076922</v>
      </c>
      <c r="S69" s="261" t="s">
        <v>240</v>
      </c>
      <c r="T69" s="260" t="s">
        <v>69</v>
      </c>
    </row>
    <row r="70" spans="1:21" x14ac:dyDescent="0.2">
      <c r="A70" s="176">
        <v>5031</v>
      </c>
      <c r="B70" s="33" t="s">
        <v>90</v>
      </c>
      <c r="C70" s="69">
        <v>644</v>
      </c>
      <c r="D70" s="69"/>
      <c r="E70" s="242">
        <f>SUM(C70:D70)</f>
        <v>644</v>
      </c>
      <c r="F70" s="152"/>
      <c r="G70" s="242"/>
      <c r="H70" s="69">
        <f t="shared" si="47"/>
        <v>644</v>
      </c>
      <c r="I70" s="69">
        <f t="shared" si="47"/>
        <v>0</v>
      </c>
      <c r="J70" s="242">
        <f>SUM(H70:I70)</f>
        <v>644</v>
      </c>
      <c r="K70">
        <v>80.637</v>
      </c>
      <c r="L70" s="69"/>
      <c r="M70" s="242">
        <f t="shared" si="48"/>
        <v>80.637</v>
      </c>
      <c r="N70" s="287">
        <f>M70/$J70</f>
        <v>0.12521273291925467</v>
      </c>
      <c r="O70" s="69">
        <v>211.649</v>
      </c>
      <c r="P70" s="69"/>
      <c r="Q70" s="242">
        <f t="shared" si="49"/>
        <v>211.649</v>
      </c>
      <c r="R70" s="287">
        <f>Q70/$J70</f>
        <v>0.3286475155279503</v>
      </c>
      <c r="S70" s="261" t="s">
        <v>240</v>
      </c>
      <c r="T70" s="260" t="s">
        <v>69</v>
      </c>
      <c r="U70" s="326"/>
    </row>
    <row r="71" spans="1:21" x14ac:dyDescent="0.2">
      <c r="A71" s="176">
        <v>5032</v>
      </c>
      <c r="B71" s="33" t="s">
        <v>91</v>
      </c>
      <c r="C71" s="69">
        <v>234</v>
      </c>
      <c r="D71" s="69"/>
      <c r="E71" s="242">
        <f>SUM(C71:D71)</f>
        <v>234</v>
      </c>
      <c r="F71" s="152"/>
      <c r="G71" s="242"/>
      <c r="H71" s="69">
        <f t="shared" si="47"/>
        <v>234</v>
      </c>
      <c r="I71" s="69">
        <f t="shared" si="47"/>
        <v>0</v>
      </c>
      <c r="J71" s="242">
        <f>SUM(H71:I71)</f>
        <v>234</v>
      </c>
      <c r="K71" s="536">
        <v>29.263000000000002</v>
      </c>
      <c r="L71" s="69"/>
      <c r="M71" s="242">
        <f t="shared" si="48"/>
        <v>29.263000000000002</v>
      </c>
      <c r="N71" s="287">
        <f>M71/$J71</f>
        <v>0.12505555555555556</v>
      </c>
      <c r="O71" s="69">
        <v>76.805999999999997</v>
      </c>
      <c r="P71" s="69"/>
      <c r="Q71" s="242">
        <f t="shared" si="49"/>
        <v>76.805999999999997</v>
      </c>
      <c r="R71" s="287">
        <f>Q71/$J71</f>
        <v>0.32823076923076921</v>
      </c>
      <c r="S71" s="261" t="s">
        <v>240</v>
      </c>
      <c r="T71" s="260" t="s">
        <v>69</v>
      </c>
      <c r="U71" s="326"/>
    </row>
    <row r="72" spans="1:21" x14ac:dyDescent="0.2">
      <c r="A72" s="176">
        <v>5038</v>
      </c>
      <c r="B72" s="33" t="s">
        <v>92</v>
      </c>
      <c r="C72" s="69">
        <v>11</v>
      </c>
      <c r="D72" s="69"/>
      <c r="E72" s="242">
        <f>SUM(C72:D72)</f>
        <v>11</v>
      </c>
      <c r="F72" s="152"/>
      <c r="G72" s="242"/>
      <c r="H72" s="69">
        <f t="shared" si="47"/>
        <v>11</v>
      </c>
      <c r="I72" s="69">
        <f t="shared" si="47"/>
        <v>0</v>
      </c>
      <c r="J72" s="242">
        <f>SUM(H72:I72)</f>
        <v>11</v>
      </c>
      <c r="K72" s="536">
        <v>2.5470000000000002</v>
      </c>
      <c r="L72" s="69"/>
      <c r="M72" s="242">
        <f>SUM(K72:L72)</f>
        <v>2.5470000000000002</v>
      </c>
      <c r="N72" s="287">
        <f>M72/$J72</f>
        <v>0.23154545454545455</v>
      </c>
      <c r="O72" s="69">
        <v>4.6429999999999998</v>
      </c>
      <c r="P72" s="69"/>
      <c r="Q72" s="242">
        <f t="shared" si="49"/>
        <v>4.6429999999999998</v>
      </c>
      <c r="R72" s="287">
        <f>Q72/$J72</f>
        <v>0.42209090909090907</v>
      </c>
      <c r="S72" s="261" t="s">
        <v>240</v>
      </c>
      <c r="T72" s="260" t="s">
        <v>69</v>
      </c>
    </row>
    <row r="73" spans="1:21" x14ac:dyDescent="0.2">
      <c r="A73" s="176">
        <v>5136</v>
      </c>
      <c r="B73" s="33" t="s">
        <v>116</v>
      </c>
      <c r="C73" s="69"/>
      <c r="D73" s="69"/>
      <c r="E73" s="242">
        <f t="shared" ref="E73:E86" si="50">SUM(C73:D73)</f>
        <v>0</v>
      </c>
      <c r="F73" s="152">
        <v>1</v>
      </c>
      <c r="G73" s="242"/>
      <c r="H73" s="69">
        <f t="shared" ref="H73:H85" si="51">C73+F73</f>
        <v>1</v>
      </c>
      <c r="I73" s="69">
        <f t="shared" ref="I73:I85" si="52">D73+G73</f>
        <v>0</v>
      </c>
      <c r="J73" s="242">
        <f t="shared" ref="J73:J85" si="53">SUM(H73:I73)</f>
        <v>1</v>
      </c>
      <c r="K73" s="536">
        <v>0.5</v>
      </c>
      <c r="L73" s="69"/>
      <c r="M73" s="242">
        <f t="shared" si="48"/>
        <v>0.5</v>
      </c>
      <c r="N73" s="287"/>
      <c r="O73" s="69">
        <v>0.5</v>
      </c>
      <c r="P73" s="69"/>
      <c r="Q73" s="242">
        <f t="shared" si="49"/>
        <v>0.5</v>
      </c>
      <c r="R73" s="287"/>
      <c r="S73" s="152" t="s">
        <v>267</v>
      </c>
      <c r="T73" s="336" t="s">
        <v>276</v>
      </c>
    </row>
    <row r="74" spans="1:21" s="326" customFormat="1" x14ac:dyDescent="0.2">
      <c r="A74" s="176">
        <v>5137</v>
      </c>
      <c r="B74" s="33" t="s">
        <v>393</v>
      </c>
      <c r="C74" s="69">
        <v>41</v>
      </c>
      <c r="D74" s="69"/>
      <c r="E74" s="242">
        <f t="shared" si="50"/>
        <v>41</v>
      </c>
      <c r="F74" s="152"/>
      <c r="G74" s="242"/>
      <c r="H74" s="69">
        <f t="shared" ref="H74:H84" si="54">C74+F74</f>
        <v>41</v>
      </c>
      <c r="I74" s="69">
        <f t="shared" ref="I74:I84" si="55">D74+G74</f>
        <v>0</v>
      </c>
      <c r="J74" s="242">
        <f t="shared" ref="J74:J84" si="56">SUM(H74:I74)</f>
        <v>41</v>
      </c>
      <c r="K74" s="536"/>
      <c r="L74" s="69"/>
      <c r="M74" s="242">
        <f t="shared" si="48"/>
        <v>0</v>
      </c>
      <c r="N74" s="287"/>
      <c r="O74" s="69"/>
      <c r="P74" s="69"/>
      <c r="Q74" s="242">
        <f t="shared" si="49"/>
        <v>0</v>
      </c>
      <c r="R74" s="287"/>
      <c r="S74" s="152" t="s">
        <v>267</v>
      </c>
      <c r="T74" s="336" t="s">
        <v>276</v>
      </c>
    </row>
    <row r="75" spans="1:21" x14ac:dyDescent="0.2">
      <c r="A75" s="176">
        <v>5139</v>
      </c>
      <c r="B75" s="33" t="s">
        <v>94</v>
      </c>
      <c r="C75" s="69"/>
      <c r="D75" s="69"/>
      <c r="E75" s="242">
        <f t="shared" si="50"/>
        <v>0</v>
      </c>
      <c r="F75" s="152">
        <v>4</v>
      </c>
      <c r="G75" s="242"/>
      <c r="H75" s="69">
        <f t="shared" si="54"/>
        <v>4</v>
      </c>
      <c r="I75" s="69">
        <f t="shared" si="55"/>
        <v>0</v>
      </c>
      <c r="J75" s="242">
        <f t="shared" si="56"/>
        <v>4</v>
      </c>
      <c r="K75" s="536"/>
      <c r="L75" s="69"/>
      <c r="M75" s="242">
        <f t="shared" ref="M75:M86" si="57">SUM(K75:L75)</f>
        <v>0</v>
      </c>
      <c r="N75" s="287">
        <f t="shared" ref="N75:N82" si="58">M75/$J75</f>
        <v>0</v>
      </c>
      <c r="O75" s="69">
        <v>3.92258</v>
      </c>
      <c r="P75" s="69"/>
      <c r="Q75" s="242">
        <f t="shared" ref="Q75:Q86" si="59">SUM(O75:P75)</f>
        <v>3.92258</v>
      </c>
      <c r="R75" s="287"/>
      <c r="S75" s="152" t="s">
        <v>267</v>
      </c>
      <c r="T75" s="336" t="s">
        <v>276</v>
      </c>
    </row>
    <row r="76" spans="1:21" x14ac:dyDescent="0.2">
      <c r="A76" s="176">
        <v>5151</v>
      </c>
      <c r="B76" s="33" t="s">
        <v>96</v>
      </c>
      <c r="C76" s="69"/>
      <c r="D76" s="69"/>
      <c r="E76" s="242">
        <f t="shared" si="50"/>
        <v>0</v>
      </c>
      <c r="F76" s="152"/>
      <c r="G76" s="242"/>
      <c r="H76" s="69">
        <f t="shared" si="54"/>
        <v>0</v>
      </c>
      <c r="I76" s="69">
        <f t="shared" si="55"/>
        <v>0</v>
      </c>
      <c r="J76" s="242">
        <f t="shared" si="56"/>
        <v>0</v>
      </c>
      <c r="K76" s="536"/>
      <c r="L76" s="69"/>
      <c r="M76" s="242">
        <f t="shared" si="57"/>
        <v>0</v>
      </c>
      <c r="N76" s="287" t="e">
        <f t="shared" si="58"/>
        <v>#DIV/0!</v>
      </c>
      <c r="O76" s="69"/>
      <c r="P76" s="69"/>
      <c r="Q76" s="242">
        <f t="shared" si="59"/>
        <v>0</v>
      </c>
      <c r="R76" s="287"/>
      <c r="S76" s="152" t="s">
        <v>267</v>
      </c>
      <c r="T76" s="336" t="s">
        <v>276</v>
      </c>
    </row>
    <row r="77" spans="1:21" x14ac:dyDescent="0.2">
      <c r="A77" s="176">
        <v>5152.3</v>
      </c>
      <c r="B77" s="33" t="s">
        <v>125</v>
      </c>
      <c r="C77" s="69">
        <v>80</v>
      </c>
      <c r="D77" s="69"/>
      <c r="E77" s="242">
        <f t="shared" si="50"/>
        <v>80</v>
      </c>
      <c r="F77" s="152">
        <v>-22</v>
      </c>
      <c r="G77" s="242"/>
      <c r="H77" s="69">
        <f t="shared" si="54"/>
        <v>58</v>
      </c>
      <c r="I77" s="69">
        <f t="shared" si="55"/>
        <v>0</v>
      </c>
      <c r="J77" s="242">
        <f t="shared" si="56"/>
        <v>58</v>
      </c>
      <c r="K77" s="536"/>
      <c r="L77" s="69"/>
      <c r="M77" s="242">
        <f t="shared" si="57"/>
        <v>0</v>
      </c>
      <c r="N77" s="287">
        <f t="shared" si="58"/>
        <v>0</v>
      </c>
      <c r="O77" s="69"/>
      <c r="P77" s="69"/>
      <c r="Q77" s="242">
        <f t="shared" si="59"/>
        <v>0</v>
      </c>
      <c r="R77" s="287"/>
      <c r="S77" s="152" t="s">
        <v>267</v>
      </c>
      <c r="T77" s="336" t="s">
        <v>276</v>
      </c>
    </row>
    <row r="78" spans="1:21" x14ac:dyDescent="0.2">
      <c r="A78" s="176">
        <v>5154</v>
      </c>
      <c r="B78" s="33" t="s">
        <v>97</v>
      </c>
      <c r="C78" s="69"/>
      <c r="D78" s="69"/>
      <c r="E78" s="242">
        <f t="shared" si="50"/>
        <v>0</v>
      </c>
      <c r="F78" s="152"/>
      <c r="G78" s="242"/>
      <c r="H78" s="69">
        <f t="shared" si="54"/>
        <v>0</v>
      </c>
      <c r="I78" s="69">
        <f t="shared" si="55"/>
        <v>0</v>
      </c>
      <c r="J78" s="242">
        <f t="shared" si="56"/>
        <v>0</v>
      </c>
      <c r="K78" s="536"/>
      <c r="L78" s="69"/>
      <c r="M78" s="242">
        <f t="shared" si="57"/>
        <v>0</v>
      </c>
      <c r="N78" s="287" t="e">
        <f t="shared" si="58"/>
        <v>#DIV/0!</v>
      </c>
      <c r="O78" s="69"/>
      <c r="P78" s="69"/>
      <c r="Q78" s="242">
        <f t="shared" si="59"/>
        <v>0</v>
      </c>
      <c r="R78" s="287"/>
      <c r="S78" s="152" t="s">
        <v>267</v>
      </c>
      <c r="T78" s="336" t="s">
        <v>276</v>
      </c>
    </row>
    <row r="79" spans="1:21" x14ac:dyDescent="0.2">
      <c r="A79" s="176">
        <v>5156</v>
      </c>
      <c r="B79" s="33" t="s">
        <v>193</v>
      </c>
      <c r="C79" s="69">
        <v>50</v>
      </c>
      <c r="D79" s="69"/>
      <c r="E79" s="242">
        <f t="shared" si="50"/>
        <v>50</v>
      </c>
      <c r="F79" s="152"/>
      <c r="G79" s="242"/>
      <c r="H79" s="69">
        <f t="shared" si="54"/>
        <v>50</v>
      </c>
      <c r="I79" s="69">
        <f t="shared" si="55"/>
        <v>0</v>
      </c>
      <c r="J79" s="242">
        <f t="shared" si="56"/>
        <v>50</v>
      </c>
      <c r="K79" s="536"/>
      <c r="L79" s="69"/>
      <c r="M79" s="242">
        <f t="shared" si="57"/>
        <v>0</v>
      </c>
      <c r="N79" s="287">
        <f t="shared" si="58"/>
        <v>0</v>
      </c>
      <c r="O79" s="69"/>
      <c r="P79" s="69"/>
      <c r="Q79" s="242">
        <f t="shared" si="59"/>
        <v>0</v>
      </c>
      <c r="R79" s="287"/>
      <c r="S79" s="152" t="s">
        <v>267</v>
      </c>
      <c r="T79" s="336" t="s">
        <v>276</v>
      </c>
    </row>
    <row r="80" spans="1:21" x14ac:dyDescent="0.2">
      <c r="A80" s="176">
        <v>5162</v>
      </c>
      <c r="B80" s="33" t="s">
        <v>100</v>
      </c>
      <c r="C80" s="69">
        <v>40</v>
      </c>
      <c r="D80" s="69"/>
      <c r="E80" s="242">
        <f t="shared" si="50"/>
        <v>40</v>
      </c>
      <c r="F80" s="152">
        <v>-10</v>
      </c>
      <c r="G80" s="242"/>
      <c r="H80" s="69">
        <f t="shared" si="54"/>
        <v>30</v>
      </c>
      <c r="I80" s="69">
        <f t="shared" si="55"/>
        <v>0</v>
      </c>
      <c r="J80" s="242">
        <f t="shared" si="56"/>
        <v>30</v>
      </c>
      <c r="K80" s="536"/>
      <c r="L80" s="69"/>
      <c r="M80" s="242">
        <f t="shared" si="57"/>
        <v>0</v>
      </c>
      <c r="N80" s="287">
        <f t="shared" si="58"/>
        <v>0</v>
      </c>
      <c r="O80" s="69"/>
      <c r="P80" s="69"/>
      <c r="Q80" s="242">
        <f t="shared" si="59"/>
        <v>0</v>
      </c>
      <c r="R80" s="287"/>
      <c r="S80" s="152" t="s">
        <v>267</v>
      </c>
      <c r="T80" s="336" t="s">
        <v>276</v>
      </c>
    </row>
    <row r="81" spans="1:20" x14ac:dyDescent="0.2">
      <c r="A81" s="176">
        <v>5167</v>
      </c>
      <c r="B81" s="33" t="s">
        <v>103</v>
      </c>
      <c r="C81" s="69">
        <v>50</v>
      </c>
      <c r="D81" s="69"/>
      <c r="E81" s="242">
        <f t="shared" si="50"/>
        <v>50</v>
      </c>
      <c r="F81" s="152"/>
      <c r="G81" s="242"/>
      <c r="H81" s="69">
        <f t="shared" si="54"/>
        <v>50</v>
      </c>
      <c r="I81" s="69">
        <f t="shared" si="55"/>
        <v>0</v>
      </c>
      <c r="J81" s="242">
        <f t="shared" si="56"/>
        <v>50</v>
      </c>
      <c r="K81" s="536">
        <v>3.18</v>
      </c>
      <c r="L81" s="69"/>
      <c r="M81" s="242">
        <f t="shared" si="57"/>
        <v>3.18</v>
      </c>
      <c r="N81" s="287">
        <f t="shared" si="58"/>
        <v>6.3600000000000004E-2</v>
      </c>
      <c r="O81" s="69">
        <v>43.325000000000003</v>
      </c>
      <c r="P81" s="69"/>
      <c r="Q81" s="242">
        <f t="shared" si="59"/>
        <v>43.325000000000003</v>
      </c>
      <c r="R81" s="287"/>
      <c r="S81" s="152" t="s">
        <v>267</v>
      </c>
      <c r="T81" s="336" t="s">
        <v>276</v>
      </c>
    </row>
    <row r="82" spans="1:20" x14ac:dyDescent="0.2">
      <c r="A82" s="176">
        <v>5169</v>
      </c>
      <c r="B82" s="33" t="s">
        <v>346</v>
      </c>
      <c r="C82" s="69">
        <v>50</v>
      </c>
      <c r="D82" s="69"/>
      <c r="E82" s="242">
        <f t="shared" si="50"/>
        <v>50</v>
      </c>
      <c r="F82" s="152"/>
      <c r="G82" s="242"/>
      <c r="H82" s="69">
        <f t="shared" si="54"/>
        <v>50</v>
      </c>
      <c r="I82" s="69">
        <f t="shared" si="55"/>
        <v>0</v>
      </c>
      <c r="J82" s="242">
        <f t="shared" si="56"/>
        <v>50</v>
      </c>
      <c r="K82" s="536">
        <v>4.78</v>
      </c>
      <c r="L82" s="69"/>
      <c r="M82" s="242">
        <f t="shared" si="57"/>
        <v>4.78</v>
      </c>
      <c r="N82" s="287">
        <f t="shared" si="58"/>
        <v>9.5600000000000004E-2</v>
      </c>
      <c r="O82" s="69">
        <v>9.56</v>
      </c>
      <c r="P82" s="69"/>
      <c r="Q82" s="242">
        <f t="shared" si="59"/>
        <v>9.56</v>
      </c>
      <c r="R82" s="287"/>
      <c r="S82" s="152" t="s">
        <v>267</v>
      </c>
      <c r="T82" s="336" t="s">
        <v>276</v>
      </c>
    </row>
    <row r="83" spans="1:20" s="326" customFormat="1" x14ac:dyDescent="0.2">
      <c r="A83" s="176">
        <v>5172</v>
      </c>
      <c r="B83" s="33" t="s">
        <v>150</v>
      </c>
      <c r="C83" s="69"/>
      <c r="D83" s="69"/>
      <c r="E83" s="242">
        <f t="shared" si="50"/>
        <v>0</v>
      </c>
      <c r="F83" s="152"/>
      <c r="G83" s="242"/>
      <c r="H83" s="69">
        <f t="shared" si="54"/>
        <v>0</v>
      </c>
      <c r="I83" s="69">
        <f t="shared" si="55"/>
        <v>0</v>
      </c>
      <c r="J83" s="242">
        <f t="shared" si="56"/>
        <v>0</v>
      </c>
      <c r="K83" s="536"/>
      <c r="L83" s="69"/>
      <c r="M83" s="242">
        <f t="shared" si="57"/>
        <v>0</v>
      </c>
      <c r="N83" s="287"/>
      <c r="O83" s="69"/>
      <c r="P83" s="69"/>
      <c r="Q83" s="242">
        <f t="shared" si="59"/>
        <v>0</v>
      </c>
      <c r="R83" s="287"/>
      <c r="S83" s="152" t="s">
        <v>267</v>
      </c>
      <c r="T83" s="336" t="s">
        <v>276</v>
      </c>
    </row>
    <row r="84" spans="1:20" x14ac:dyDescent="0.2">
      <c r="A84" s="176">
        <v>5173</v>
      </c>
      <c r="B84" s="33" t="s">
        <v>106</v>
      </c>
      <c r="C84" s="69"/>
      <c r="D84" s="69"/>
      <c r="E84" s="242">
        <f t="shared" si="50"/>
        <v>0</v>
      </c>
      <c r="F84" s="152">
        <v>10</v>
      </c>
      <c r="G84" s="242"/>
      <c r="H84" s="69">
        <f t="shared" si="54"/>
        <v>10</v>
      </c>
      <c r="I84" s="69">
        <f t="shared" si="55"/>
        <v>0</v>
      </c>
      <c r="J84" s="242">
        <f t="shared" si="56"/>
        <v>10</v>
      </c>
      <c r="K84" s="536">
        <v>1.097</v>
      </c>
      <c r="L84" s="69"/>
      <c r="M84" s="242">
        <f t="shared" si="57"/>
        <v>1.097</v>
      </c>
      <c r="N84" s="287"/>
      <c r="O84" s="69">
        <v>3.5449999999999999</v>
      </c>
      <c r="P84" s="69"/>
      <c r="Q84" s="242">
        <f t="shared" si="59"/>
        <v>3.5449999999999999</v>
      </c>
      <c r="R84" s="287"/>
      <c r="S84" s="152" t="s">
        <v>267</v>
      </c>
      <c r="T84" s="336" t="s">
        <v>276</v>
      </c>
    </row>
    <row r="85" spans="1:20" x14ac:dyDescent="0.2">
      <c r="A85" s="176">
        <v>5194</v>
      </c>
      <c r="B85" s="33" t="s">
        <v>347</v>
      </c>
      <c r="C85" s="69"/>
      <c r="D85" s="69"/>
      <c r="E85" s="242">
        <f t="shared" si="50"/>
        <v>0</v>
      </c>
      <c r="F85" s="152">
        <v>2</v>
      </c>
      <c r="G85" s="242"/>
      <c r="H85" s="69">
        <f t="shared" si="51"/>
        <v>2</v>
      </c>
      <c r="I85" s="69">
        <f t="shared" si="52"/>
        <v>0</v>
      </c>
      <c r="J85" s="242">
        <f t="shared" si="53"/>
        <v>2</v>
      </c>
      <c r="K85" s="536">
        <v>0.41399999999999998</v>
      </c>
      <c r="L85" s="69"/>
      <c r="M85" s="242">
        <f t="shared" si="57"/>
        <v>0.41399999999999998</v>
      </c>
      <c r="N85" s="287"/>
      <c r="O85" s="69">
        <v>1.603</v>
      </c>
      <c r="P85" s="69"/>
      <c r="Q85" s="242">
        <f t="shared" si="59"/>
        <v>1.603</v>
      </c>
      <c r="R85" s="287"/>
      <c r="S85" s="152" t="s">
        <v>267</v>
      </c>
      <c r="T85" s="336" t="s">
        <v>276</v>
      </c>
    </row>
    <row r="86" spans="1:20" ht="13.5" thickBot="1" x14ac:dyDescent="0.25">
      <c r="A86" s="176">
        <v>5424</v>
      </c>
      <c r="B86" s="312" t="s">
        <v>339</v>
      </c>
      <c r="C86" s="69"/>
      <c r="D86" s="69"/>
      <c r="E86" s="242">
        <f t="shared" si="50"/>
        <v>0</v>
      </c>
      <c r="F86" s="152">
        <v>15</v>
      </c>
      <c r="G86" s="242"/>
      <c r="H86" s="69">
        <f>C86+F86</f>
        <v>15</v>
      </c>
      <c r="I86" s="69"/>
      <c r="J86" s="242">
        <f>SUM(H86:I86)</f>
        <v>15</v>
      </c>
      <c r="K86" s="536">
        <v>12.951000000000001</v>
      </c>
      <c r="L86" s="69"/>
      <c r="M86" s="242">
        <f t="shared" si="57"/>
        <v>12.951000000000001</v>
      </c>
      <c r="N86" s="287"/>
      <c r="O86" s="69">
        <v>14.858000000000001</v>
      </c>
      <c r="P86" s="69"/>
      <c r="Q86" s="242">
        <f t="shared" si="59"/>
        <v>14.858000000000001</v>
      </c>
      <c r="R86" s="287"/>
      <c r="S86" s="152" t="s">
        <v>267</v>
      </c>
      <c r="T86" s="336" t="s">
        <v>276</v>
      </c>
    </row>
    <row r="87" spans="1:20" ht="13.5" thickBot="1" x14ac:dyDescent="0.25">
      <c r="A87" s="179"/>
      <c r="B87" s="313" t="s">
        <v>296</v>
      </c>
      <c r="C87" s="158">
        <f>SUM(C69:C86)</f>
        <v>3800</v>
      </c>
      <c r="D87" s="158">
        <f>SUM(D69:D86)</f>
        <v>0</v>
      </c>
      <c r="E87" s="258">
        <f t="shared" ref="E87:J87" si="60">SUM(E69:E86)</f>
        <v>3800</v>
      </c>
      <c r="F87" s="158">
        <f t="shared" si="60"/>
        <v>0</v>
      </c>
      <c r="G87" s="258">
        <f t="shared" si="60"/>
        <v>0</v>
      </c>
      <c r="H87" s="247">
        <f t="shared" si="60"/>
        <v>3800</v>
      </c>
      <c r="I87" s="247">
        <f t="shared" si="60"/>
        <v>0</v>
      </c>
      <c r="J87" s="306">
        <f t="shared" si="60"/>
        <v>3800</v>
      </c>
      <c r="K87" s="543">
        <f>SUM(K69:K86)</f>
        <v>460.517</v>
      </c>
      <c r="L87" s="158">
        <f>SUM(L69:L86)</f>
        <v>0</v>
      </c>
      <c r="M87" s="258">
        <f>SUM(M69:M86)</f>
        <v>460.517</v>
      </c>
      <c r="N87" s="284">
        <f>M87/$J87</f>
        <v>0.12118868421052631</v>
      </c>
      <c r="O87" s="158">
        <f>SUM(O69:O86)</f>
        <v>1223.8375800000001</v>
      </c>
      <c r="P87" s="158">
        <f>SUM(P69:P86)</f>
        <v>0</v>
      </c>
      <c r="Q87" s="258">
        <f>SUM(Q69:Q86)</f>
        <v>1223.8375800000001</v>
      </c>
      <c r="R87" s="284">
        <f>Q87/$J87</f>
        <v>0.32206252105263161</v>
      </c>
      <c r="S87" s="319"/>
      <c r="T87" s="320"/>
    </row>
    <row r="88" spans="1:20" ht="13.5" thickBot="1" x14ac:dyDescent="0.25">
      <c r="K88" s="239"/>
      <c r="L88" s="326"/>
      <c r="M88" s="326"/>
      <c r="N88" s="282"/>
      <c r="O88" s="326"/>
      <c r="P88" s="326"/>
      <c r="Q88" s="326"/>
      <c r="R88" s="282"/>
    </row>
    <row r="89" spans="1:20" ht="13.5" thickBot="1" x14ac:dyDescent="0.25">
      <c r="A89" s="253" t="s">
        <v>291</v>
      </c>
      <c r="B89" s="254" t="s">
        <v>292</v>
      </c>
      <c r="C89" s="257" t="s">
        <v>64</v>
      </c>
      <c r="D89" s="256" t="s">
        <v>65</v>
      </c>
      <c r="E89" s="256" t="s">
        <v>66</v>
      </c>
      <c r="F89" s="253" t="s">
        <v>64</v>
      </c>
      <c r="G89" s="256" t="s">
        <v>65</v>
      </c>
      <c r="H89" s="257" t="s">
        <v>64</v>
      </c>
      <c r="I89" s="256" t="s">
        <v>65</v>
      </c>
      <c r="J89" s="256" t="s">
        <v>66</v>
      </c>
      <c r="K89" s="542" t="s">
        <v>64</v>
      </c>
      <c r="L89" s="256" t="s">
        <v>65</v>
      </c>
      <c r="M89" s="256" t="s">
        <v>66</v>
      </c>
      <c r="N89" s="289" t="s">
        <v>4</v>
      </c>
      <c r="O89" s="257" t="s">
        <v>64</v>
      </c>
      <c r="P89" s="256" t="s">
        <v>65</v>
      </c>
      <c r="Q89" s="256" t="s">
        <v>66</v>
      </c>
      <c r="R89" s="289" t="s">
        <v>4</v>
      </c>
      <c r="S89" s="314"/>
      <c r="T89" s="315"/>
    </row>
    <row r="90" spans="1:20" x14ac:dyDescent="0.2">
      <c r="A90" s="176">
        <v>5011</v>
      </c>
      <c r="B90" s="33" t="s">
        <v>88</v>
      </c>
      <c r="C90" s="69">
        <v>451</v>
      </c>
      <c r="D90" s="69"/>
      <c r="E90" s="242">
        <f>SUM(C90:D90)</f>
        <v>451</v>
      </c>
      <c r="F90" s="152">
        <v>-11</v>
      </c>
      <c r="G90" s="242"/>
      <c r="H90" s="69">
        <f t="shared" ref="H90:I93" si="61">C90+F90</f>
        <v>440</v>
      </c>
      <c r="I90" s="69">
        <f t="shared" si="61"/>
        <v>0</v>
      </c>
      <c r="J90" s="242">
        <f>SUM(H90:I90)</f>
        <v>440</v>
      </c>
      <c r="K90" s="536">
        <v>81.56</v>
      </c>
      <c r="L90" s="69"/>
      <c r="M90" s="242">
        <f>SUM(K90:L90)</f>
        <v>81.56</v>
      </c>
      <c r="N90" s="287">
        <f t="shared" ref="N90:N97" si="62">M90/$J90</f>
        <v>0.18536363636363637</v>
      </c>
      <c r="O90" s="69">
        <v>185.733</v>
      </c>
      <c r="P90" s="69"/>
      <c r="Q90" s="242">
        <f>SUM(O90:P90)</f>
        <v>185.733</v>
      </c>
      <c r="R90" s="287">
        <f t="shared" ref="R90:R97" si="63">Q90/$J90</f>
        <v>0.42212045454545455</v>
      </c>
      <c r="S90" s="261" t="s">
        <v>240</v>
      </c>
      <c r="T90" s="260" t="s">
        <v>69</v>
      </c>
    </row>
    <row r="91" spans="1:20" x14ac:dyDescent="0.2">
      <c r="A91" s="176">
        <v>5031</v>
      </c>
      <c r="B91" s="33" t="s">
        <v>90</v>
      </c>
      <c r="C91" s="69">
        <v>112</v>
      </c>
      <c r="D91" s="69"/>
      <c r="E91" s="242">
        <f>SUM(C91:D91)</f>
        <v>112</v>
      </c>
      <c r="F91" s="152"/>
      <c r="G91" s="242"/>
      <c r="H91" s="69">
        <f t="shared" si="61"/>
        <v>112</v>
      </c>
      <c r="I91" s="69">
        <f t="shared" si="61"/>
        <v>0</v>
      </c>
      <c r="J91" s="242">
        <f>SUM(H91:I91)</f>
        <v>112</v>
      </c>
      <c r="K91" s="536">
        <v>20.227</v>
      </c>
      <c r="L91" s="69"/>
      <c r="M91" s="242">
        <f>SUM(K91:L91)</f>
        <v>20.227</v>
      </c>
      <c r="N91" s="287">
        <f t="shared" si="62"/>
        <v>0.18059821428571429</v>
      </c>
      <c r="O91" s="69">
        <v>46.061</v>
      </c>
      <c r="P91" s="69"/>
      <c r="Q91" s="242">
        <f>SUM(O91:P91)</f>
        <v>46.061</v>
      </c>
      <c r="R91" s="287">
        <f t="shared" si="63"/>
        <v>0.41125892857142859</v>
      </c>
      <c r="S91" s="261" t="s">
        <v>240</v>
      </c>
      <c r="T91" s="260" t="s">
        <v>69</v>
      </c>
    </row>
    <row r="92" spans="1:20" x14ac:dyDescent="0.2">
      <c r="A92" s="176">
        <v>5032</v>
      </c>
      <c r="B92" s="33" t="s">
        <v>91</v>
      </c>
      <c r="C92" s="69">
        <v>39</v>
      </c>
      <c r="D92" s="69"/>
      <c r="E92" s="242">
        <f>SUM(C92:D92)</f>
        <v>39</v>
      </c>
      <c r="F92" s="152"/>
      <c r="G92" s="242"/>
      <c r="H92" s="69">
        <f t="shared" si="61"/>
        <v>39</v>
      </c>
      <c r="I92" s="69">
        <f t="shared" si="61"/>
        <v>0</v>
      </c>
      <c r="J92" s="242">
        <f>SUM(H92:I92)</f>
        <v>39</v>
      </c>
      <c r="K92" s="536">
        <v>7.34</v>
      </c>
      <c r="L92" s="69"/>
      <c r="M92" s="242">
        <f>SUM(K92:L92)</f>
        <v>7.34</v>
      </c>
      <c r="N92" s="287">
        <f t="shared" si="62"/>
        <v>0.18820512820512819</v>
      </c>
      <c r="O92" s="69">
        <v>16.715</v>
      </c>
      <c r="P92" s="69"/>
      <c r="Q92" s="242">
        <f>SUM(O92:P92)</f>
        <v>16.715</v>
      </c>
      <c r="R92" s="287">
        <f t="shared" si="63"/>
        <v>0.42858974358974361</v>
      </c>
      <c r="S92" s="261" t="s">
        <v>240</v>
      </c>
      <c r="T92" s="260" t="s">
        <v>69</v>
      </c>
    </row>
    <row r="93" spans="1:20" x14ac:dyDescent="0.2">
      <c r="A93" s="176">
        <v>5038</v>
      </c>
      <c r="B93" s="33" t="s">
        <v>92</v>
      </c>
      <c r="C93" s="69">
        <v>1</v>
      </c>
      <c r="D93" s="69"/>
      <c r="E93" s="242">
        <f>SUM(C93:D93)</f>
        <v>1</v>
      </c>
      <c r="F93" s="152"/>
      <c r="G93" s="242"/>
      <c r="H93" s="69">
        <f t="shared" si="61"/>
        <v>1</v>
      </c>
      <c r="I93" s="69">
        <f t="shared" si="61"/>
        <v>0</v>
      </c>
      <c r="J93" s="242">
        <f>SUM(H93:I93)</f>
        <v>1</v>
      </c>
      <c r="K93" s="536">
        <v>0.80500000000000005</v>
      </c>
      <c r="L93" s="69"/>
      <c r="M93" s="242">
        <f>SUM(K93:L93)</f>
        <v>0.80500000000000005</v>
      </c>
      <c r="N93" s="287"/>
      <c r="O93" s="69">
        <v>1.264</v>
      </c>
      <c r="P93" s="69"/>
      <c r="Q93" s="242">
        <f>SUM(O93:P93)</f>
        <v>1.264</v>
      </c>
      <c r="R93" s="287"/>
      <c r="S93" s="261" t="s">
        <v>240</v>
      </c>
      <c r="T93" s="260" t="s">
        <v>69</v>
      </c>
    </row>
    <row r="94" spans="1:20" x14ac:dyDescent="0.2">
      <c r="A94" s="176">
        <v>5167</v>
      </c>
      <c r="B94" s="33" t="s">
        <v>103</v>
      </c>
      <c r="C94" s="69" t="s">
        <v>438</v>
      </c>
      <c r="D94" s="69"/>
      <c r="E94" s="242"/>
      <c r="F94" s="152"/>
      <c r="G94" s="242"/>
      <c r="H94" s="69"/>
      <c r="I94" s="69"/>
      <c r="J94" s="242">
        <f>SUM(H94:I94)</f>
        <v>0</v>
      </c>
      <c r="K94" s="536"/>
      <c r="L94" s="69"/>
      <c r="M94" s="242">
        <f t="shared" ref="M94:M95" si="64">SUM(K94:L94)</f>
        <v>0</v>
      </c>
      <c r="N94" s="287"/>
      <c r="O94" s="69"/>
      <c r="P94" s="69"/>
      <c r="Q94" s="242">
        <f t="shared" ref="Q94:Q95" si="65">SUM(O94:P94)</f>
        <v>0</v>
      </c>
      <c r="R94" s="287"/>
      <c r="S94" s="152" t="s">
        <v>267</v>
      </c>
      <c r="T94" s="336" t="s">
        <v>276</v>
      </c>
    </row>
    <row r="95" spans="1:20" ht="13.5" thickBot="1" x14ac:dyDescent="0.25">
      <c r="A95" s="176">
        <v>5424</v>
      </c>
      <c r="B95" s="33" t="s">
        <v>339</v>
      </c>
      <c r="C95" s="69"/>
      <c r="D95" s="69"/>
      <c r="E95" s="242"/>
      <c r="F95" s="152">
        <v>11</v>
      </c>
      <c r="G95" s="242"/>
      <c r="H95" s="69"/>
      <c r="I95" s="69"/>
      <c r="J95" s="242"/>
      <c r="K95" s="536"/>
      <c r="L95" s="69"/>
      <c r="M95" s="242">
        <f t="shared" si="64"/>
        <v>0</v>
      </c>
      <c r="N95" s="287"/>
      <c r="O95" s="69">
        <v>10.552</v>
      </c>
      <c r="P95" s="69"/>
      <c r="Q95" s="242">
        <f t="shared" si="65"/>
        <v>10.552</v>
      </c>
      <c r="R95" s="287"/>
      <c r="S95" s="152" t="s">
        <v>267</v>
      </c>
      <c r="T95" s="336" t="s">
        <v>276</v>
      </c>
    </row>
    <row r="96" spans="1:20" ht="13.5" thickBot="1" x14ac:dyDescent="0.25">
      <c r="A96" s="179"/>
      <c r="B96" s="246" t="s">
        <v>297</v>
      </c>
      <c r="C96" s="158">
        <f>SUM(C90:C95)</f>
        <v>603</v>
      </c>
      <c r="D96" s="158">
        <f>SUM(D90:D95)</f>
        <v>0</v>
      </c>
      <c r="E96" s="158">
        <f>SUM(E90:E95)</f>
        <v>603</v>
      </c>
      <c r="F96" s="158">
        <f t="shared" ref="F96:J96" si="66">SUM(F90:F95)</f>
        <v>0</v>
      </c>
      <c r="G96" s="258">
        <f t="shared" si="66"/>
        <v>0</v>
      </c>
      <c r="H96" s="247">
        <f t="shared" si="66"/>
        <v>592</v>
      </c>
      <c r="I96" s="158">
        <f t="shared" si="66"/>
        <v>0</v>
      </c>
      <c r="J96" s="158">
        <f t="shared" si="66"/>
        <v>592</v>
      </c>
      <c r="K96" s="543">
        <f>SUM(K90:K95)</f>
        <v>109.93200000000002</v>
      </c>
      <c r="L96" s="158">
        <f>SUM(L90:L95)</f>
        <v>0</v>
      </c>
      <c r="M96" s="158">
        <f>SUM(M90:M95)</f>
        <v>109.93200000000002</v>
      </c>
      <c r="N96" s="284">
        <f t="shared" si="62"/>
        <v>0.18569594594594596</v>
      </c>
      <c r="O96" s="158">
        <f>SUM(O90:O95)</f>
        <v>260.32500000000005</v>
      </c>
      <c r="P96" s="158">
        <f>SUM(P90:P95)</f>
        <v>0</v>
      </c>
      <c r="Q96" s="158">
        <f>SUM(Q90:Q95)</f>
        <v>260.32500000000005</v>
      </c>
      <c r="R96" s="284">
        <f t="shared" si="63"/>
        <v>0.43973817567567575</v>
      </c>
      <c r="S96" s="319"/>
      <c r="T96" s="320"/>
    </row>
    <row r="97" spans="1:20" ht="13.5" thickBot="1" x14ac:dyDescent="0.25">
      <c r="A97" s="262"/>
      <c r="B97" s="263" t="s">
        <v>298</v>
      </c>
      <c r="C97" s="264">
        <f t="shared" ref="C97:M97" si="67">C40+C50+C55+C60+C66+C87+C96</f>
        <v>59217</v>
      </c>
      <c r="D97" s="264">
        <f t="shared" si="67"/>
        <v>645</v>
      </c>
      <c r="E97" s="265">
        <f t="shared" si="67"/>
        <v>59862</v>
      </c>
      <c r="F97" s="264">
        <f t="shared" si="67"/>
        <v>-381</v>
      </c>
      <c r="G97" s="304">
        <f t="shared" si="67"/>
        <v>381</v>
      </c>
      <c r="H97" s="305">
        <f t="shared" si="67"/>
        <v>58825</v>
      </c>
      <c r="I97" s="264">
        <f t="shared" si="67"/>
        <v>1026</v>
      </c>
      <c r="J97" s="265">
        <f t="shared" si="67"/>
        <v>59851</v>
      </c>
      <c r="K97" s="544">
        <f t="shared" si="67"/>
        <v>13310.18462</v>
      </c>
      <c r="L97" s="264">
        <f t="shared" si="67"/>
        <v>472.23</v>
      </c>
      <c r="M97" s="265">
        <f t="shared" si="67"/>
        <v>13782.41462</v>
      </c>
      <c r="N97" s="290">
        <f t="shared" si="62"/>
        <v>0.23027876927703797</v>
      </c>
      <c r="O97" s="264">
        <f>O40+O50+O55+O60+O66+O87+O96</f>
        <v>27866.113069999999</v>
      </c>
      <c r="P97" s="264">
        <f>P40+P50+P55+P60+P66+P87+P96</f>
        <v>1025.6472200000001</v>
      </c>
      <c r="Q97" s="265">
        <f>Q40+Q50+Q55+Q60+Q66+Q87+Q96</f>
        <v>28891.760289999998</v>
      </c>
      <c r="R97" s="290">
        <f t="shared" si="63"/>
        <v>0.48272811298056839</v>
      </c>
      <c r="S97" s="266"/>
      <c r="T97" s="267"/>
    </row>
    <row r="98" spans="1:20" s="344" customFormat="1" ht="9.75" x14ac:dyDescent="0.2">
      <c r="E98" s="379">
        <f>C97+D97</f>
        <v>59862</v>
      </c>
      <c r="G98" s="379">
        <f>F97+G97</f>
        <v>0</v>
      </c>
    </row>
    <row r="99" spans="1:20" x14ac:dyDescent="0.2">
      <c r="B99" s="239"/>
    </row>
    <row r="100" spans="1:20" x14ac:dyDescent="0.2">
      <c r="B100" s="239"/>
      <c r="O100" s="293"/>
      <c r="Q100" s="293"/>
    </row>
    <row r="101" spans="1:20" x14ac:dyDescent="0.2">
      <c r="O101" s="293"/>
    </row>
    <row r="102" spans="1:20" x14ac:dyDescent="0.2">
      <c r="O102" s="293"/>
    </row>
  </sheetData>
  <sortState ref="A78:AK93">
    <sortCondition ref="A78:A93"/>
  </sortState>
  <mergeCells count="1">
    <mergeCell ref="F2:G2"/>
  </mergeCells>
  <pageMargins left="0.39370078740157483" right="0.15748031496062992" top="0.23622047244094491" bottom="0.15748031496062992" header="0.23622047244094491" footer="0.15748031496062992"/>
  <pageSetup paperSize="9" scale="8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/>
  </sheetViews>
  <sheetFormatPr defaultColWidth="9.140625" defaultRowHeight="12.75" x14ac:dyDescent="0.2"/>
  <cols>
    <col min="1" max="1" width="25.140625" style="360" customWidth="1"/>
    <col min="2" max="2" width="10.7109375" style="360" customWidth="1"/>
    <col min="3" max="3" width="10.5703125" style="360" customWidth="1"/>
    <col min="4" max="4" width="9.140625" style="360" bestFit="1" customWidth="1"/>
    <col min="5" max="5" width="10.5703125" style="360" bestFit="1" customWidth="1"/>
    <col min="6" max="6" width="8.85546875" style="360" bestFit="1" customWidth="1"/>
    <col min="7" max="7" width="7.5703125" style="360" bestFit="1" customWidth="1"/>
    <col min="8" max="8" width="10.85546875" style="360" customWidth="1"/>
    <col min="9" max="9" width="9.5703125" style="360" customWidth="1"/>
    <col min="10" max="10" width="10.42578125" style="360" customWidth="1"/>
    <col min="11" max="12" width="9.7109375" style="360" customWidth="1"/>
    <col min="13" max="13" width="10.7109375" style="360" customWidth="1"/>
    <col min="14" max="14" width="8.5703125" style="360" customWidth="1"/>
    <col min="15" max="15" width="9.140625" style="360" bestFit="1" customWidth="1"/>
    <col min="16" max="16384" width="9.140625" style="360"/>
  </cols>
  <sheetData>
    <row r="2" spans="1:15" ht="18" x14ac:dyDescent="0.25">
      <c r="A2" s="463" t="s">
        <v>556</v>
      </c>
    </row>
    <row r="4" spans="1:15" ht="13.5" thickBot="1" x14ac:dyDescent="0.25"/>
    <row r="5" spans="1:15" x14ac:dyDescent="0.2">
      <c r="A5" s="464" t="s">
        <v>499</v>
      </c>
      <c r="B5" s="465" t="s">
        <v>500</v>
      </c>
      <c r="C5" s="466" t="s">
        <v>501</v>
      </c>
      <c r="D5" s="467"/>
      <c r="E5" s="468" t="s">
        <v>502</v>
      </c>
      <c r="F5" s="469" t="s">
        <v>501</v>
      </c>
      <c r="G5" s="467"/>
      <c r="H5" s="470" t="s">
        <v>503</v>
      </c>
      <c r="I5" s="464" t="s">
        <v>504</v>
      </c>
      <c r="J5" s="464" t="s">
        <v>504</v>
      </c>
      <c r="K5" s="464" t="s">
        <v>505</v>
      </c>
      <c r="L5" s="464" t="s">
        <v>506</v>
      </c>
      <c r="M5" s="471" t="s">
        <v>507</v>
      </c>
      <c r="N5" s="472" t="s">
        <v>564</v>
      </c>
      <c r="O5" s="473" t="s">
        <v>508</v>
      </c>
    </row>
    <row r="6" spans="1:15" ht="13.5" thickBot="1" x14ac:dyDescent="0.25">
      <c r="A6" s="474"/>
      <c r="B6" s="475" t="s">
        <v>509</v>
      </c>
      <c r="C6" s="476" t="s">
        <v>510</v>
      </c>
      <c r="D6" s="477" t="s">
        <v>503</v>
      </c>
      <c r="E6" s="475" t="s">
        <v>509</v>
      </c>
      <c r="F6" s="476" t="s">
        <v>510</v>
      </c>
      <c r="G6" s="477" t="s">
        <v>503</v>
      </c>
      <c r="H6" s="478" t="s">
        <v>66</v>
      </c>
      <c r="I6" s="479" t="s">
        <v>511</v>
      </c>
      <c r="J6" s="479" t="s">
        <v>512</v>
      </c>
      <c r="K6" s="479" t="s">
        <v>513</v>
      </c>
      <c r="L6" s="480" t="s">
        <v>522</v>
      </c>
      <c r="M6" s="479" t="s">
        <v>513</v>
      </c>
      <c r="N6" s="480" t="s">
        <v>204</v>
      </c>
      <c r="O6" s="481" t="s">
        <v>514</v>
      </c>
    </row>
    <row r="7" spans="1:15" x14ac:dyDescent="0.2">
      <c r="A7" s="482" t="s">
        <v>515</v>
      </c>
      <c r="B7" s="483">
        <v>6462539.5099999998</v>
      </c>
      <c r="C7" s="484">
        <v>6464411.3499999996</v>
      </c>
      <c r="D7" s="485">
        <f>C7-B7</f>
        <v>1871.839999999851</v>
      </c>
      <c r="E7" s="483">
        <v>0</v>
      </c>
      <c r="F7" s="484">
        <v>0</v>
      </c>
      <c r="G7" s="485">
        <f>F7-E7</f>
        <v>0</v>
      </c>
      <c r="H7" s="486">
        <f>D7+G7</f>
        <v>1871.839999999851</v>
      </c>
      <c r="I7" s="483">
        <v>264620</v>
      </c>
      <c r="J7" s="487">
        <v>346479.63</v>
      </c>
      <c r="K7" s="488">
        <v>298000</v>
      </c>
      <c r="L7" s="488">
        <v>130645.75</v>
      </c>
      <c r="M7" s="489">
        <f t="shared" ref="M7:M12" si="0">L7/K7</f>
        <v>0.43840855704697984</v>
      </c>
      <c r="N7" s="490">
        <f>K7/4*2-L7</f>
        <v>18354.25</v>
      </c>
      <c r="O7" s="491"/>
    </row>
    <row r="8" spans="1:15" x14ac:dyDescent="0.2">
      <c r="A8" s="482" t="s">
        <v>516</v>
      </c>
      <c r="B8" s="483">
        <v>12467464.609999999</v>
      </c>
      <c r="C8" s="484">
        <v>13003463.42</v>
      </c>
      <c r="D8" s="485">
        <f t="shared" ref="D8:D12" si="1">C8-B8</f>
        <v>535998.81000000052</v>
      </c>
      <c r="E8" s="483">
        <v>131304</v>
      </c>
      <c r="F8" s="484">
        <v>152813</v>
      </c>
      <c r="G8" s="485">
        <f t="shared" ref="G8:G12" si="2">F8-E8</f>
        <v>21509</v>
      </c>
      <c r="H8" s="486">
        <f t="shared" ref="H8:H12" si="3">D8+G8</f>
        <v>557507.81000000052</v>
      </c>
      <c r="I8" s="483">
        <v>242903</v>
      </c>
      <c r="J8" s="487">
        <v>261396.71</v>
      </c>
      <c r="K8" s="488">
        <v>1139000</v>
      </c>
      <c r="L8" s="488">
        <f>555841.34+11648</f>
        <v>567489.34</v>
      </c>
      <c r="M8" s="489">
        <f t="shared" si="0"/>
        <v>0.49823471466198416</v>
      </c>
      <c r="N8" s="490">
        <f t="shared" ref="N8:N12" si="4">K8/4*2-L8</f>
        <v>2010.6600000000326</v>
      </c>
      <c r="O8" s="487">
        <v>581365.87</v>
      </c>
    </row>
    <row r="9" spans="1:15" x14ac:dyDescent="0.2">
      <c r="A9" s="482" t="s">
        <v>517</v>
      </c>
      <c r="B9" s="483">
        <v>6167382.5199999996</v>
      </c>
      <c r="C9" s="484">
        <v>6083059.3700000001</v>
      </c>
      <c r="D9" s="485">
        <f t="shared" si="1"/>
        <v>-84323.149999999441</v>
      </c>
      <c r="E9" s="483">
        <v>755320.76</v>
      </c>
      <c r="F9" s="484">
        <v>867652.21</v>
      </c>
      <c r="G9" s="485">
        <f t="shared" si="2"/>
        <v>112331.44999999995</v>
      </c>
      <c r="H9" s="486">
        <f t="shared" si="3"/>
        <v>28008.300000000512</v>
      </c>
      <c r="I9" s="483">
        <v>173758.53</v>
      </c>
      <c r="J9" s="487">
        <v>67174.52</v>
      </c>
      <c r="K9" s="488">
        <f>114000+1312000</f>
        <v>1426000</v>
      </c>
      <c r="L9" s="488">
        <f>532364.33+130019.75</f>
        <v>662384.07999999996</v>
      </c>
      <c r="M9" s="489">
        <f t="shared" si="0"/>
        <v>0.46450496493688637</v>
      </c>
      <c r="N9" s="490">
        <f t="shared" si="4"/>
        <v>50615.920000000042</v>
      </c>
      <c r="O9" s="492"/>
    </row>
    <row r="10" spans="1:15" x14ac:dyDescent="0.2">
      <c r="A10" s="482" t="s">
        <v>518</v>
      </c>
      <c r="B10" s="483">
        <v>11617124.24</v>
      </c>
      <c r="C10" s="484">
        <v>13432823.470000001</v>
      </c>
      <c r="D10" s="485">
        <f t="shared" si="1"/>
        <v>1815699.2300000004</v>
      </c>
      <c r="E10" s="483">
        <v>15941</v>
      </c>
      <c r="F10" s="484">
        <v>37385</v>
      </c>
      <c r="G10" s="485">
        <f t="shared" si="2"/>
        <v>21444</v>
      </c>
      <c r="H10" s="486">
        <f t="shared" si="3"/>
        <v>1837143.2300000004</v>
      </c>
      <c r="I10" s="483">
        <v>374130.6</v>
      </c>
      <c r="J10" s="487">
        <v>757738.48</v>
      </c>
      <c r="K10" s="488">
        <v>401000</v>
      </c>
      <c r="L10" s="488">
        <f>221625.91+11488</f>
        <v>233113.91</v>
      </c>
      <c r="M10" s="489">
        <f t="shared" si="0"/>
        <v>0.58133144638403988</v>
      </c>
      <c r="N10" s="490">
        <f t="shared" si="4"/>
        <v>-32613.910000000003</v>
      </c>
      <c r="O10" s="487">
        <v>1981398.53</v>
      </c>
    </row>
    <row r="11" spans="1:15" x14ac:dyDescent="0.2">
      <c r="A11" s="482" t="s">
        <v>519</v>
      </c>
      <c r="B11" s="483">
        <v>14101011.65</v>
      </c>
      <c r="C11" s="484">
        <v>15959274.23</v>
      </c>
      <c r="D11" s="485">
        <f t="shared" si="1"/>
        <v>1858262.58</v>
      </c>
      <c r="E11" s="483">
        <v>72750</v>
      </c>
      <c r="F11" s="484">
        <v>101610</v>
      </c>
      <c r="G11" s="485">
        <f t="shared" si="2"/>
        <v>28860</v>
      </c>
      <c r="H11" s="486">
        <f t="shared" si="3"/>
        <v>1887122.58</v>
      </c>
      <c r="I11" s="483">
        <v>127462.12</v>
      </c>
      <c r="J11" s="487">
        <v>751939.84</v>
      </c>
      <c r="K11" s="488">
        <v>805000</v>
      </c>
      <c r="L11" s="488">
        <f>383655+19000</f>
        <v>402655</v>
      </c>
      <c r="M11" s="489">
        <f t="shared" si="0"/>
        <v>0.50019254658385093</v>
      </c>
      <c r="N11" s="490">
        <f t="shared" si="4"/>
        <v>-155</v>
      </c>
      <c r="O11" s="487">
        <v>1625564.43</v>
      </c>
    </row>
    <row r="12" spans="1:15" ht="13.5" thickBot="1" x14ac:dyDescent="0.25">
      <c r="A12" s="482" t="s">
        <v>520</v>
      </c>
      <c r="B12" s="483">
        <v>6497753.0700000003</v>
      </c>
      <c r="C12" s="484">
        <v>6827833</v>
      </c>
      <c r="D12" s="485">
        <f t="shared" si="1"/>
        <v>330079.9299999997</v>
      </c>
      <c r="E12" s="483">
        <v>61705</v>
      </c>
      <c r="F12" s="484">
        <v>62300</v>
      </c>
      <c r="G12" s="485">
        <f t="shared" si="2"/>
        <v>595</v>
      </c>
      <c r="H12" s="486">
        <f t="shared" si="3"/>
        <v>330674.9299999997</v>
      </c>
      <c r="I12" s="483">
        <v>233223</v>
      </c>
      <c r="J12" s="487">
        <v>599018.23999999999</v>
      </c>
      <c r="K12" s="488">
        <v>271000</v>
      </c>
      <c r="L12" s="488">
        <v>134804.91</v>
      </c>
      <c r="M12" s="489">
        <f t="shared" si="0"/>
        <v>0.49743509225092253</v>
      </c>
      <c r="N12" s="490">
        <f t="shared" si="4"/>
        <v>695.08999999999651</v>
      </c>
      <c r="O12" s="493">
        <v>251500.18</v>
      </c>
    </row>
    <row r="13" spans="1:15" x14ac:dyDescent="0.2">
      <c r="A13" s="494"/>
      <c r="B13" s="495"/>
      <c r="C13" s="496"/>
      <c r="D13" s="497"/>
      <c r="E13" s="495"/>
      <c r="F13" s="496"/>
      <c r="G13" s="497"/>
      <c r="H13" s="498"/>
      <c r="I13" s="499"/>
      <c r="J13" s="499"/>
      <c r="K13" s="500"/>
      <c r="L13" s="500"/>
      <c r="M13" s="500"/>
      <c r="N13" s="500"/>
      <c r="O13" s="501"/>
    </row>
    <row r="14" spans="1:15" x14ac:dyDescent="0.2">
      <c r="A14" s="502" t="s">
        <v>521</v>
      </c>
      <c r="B14" s="503">
        <f t="shared" ref="B14:L14" si="5">SUM(B7:B12)</f>
        <v>57313275.599999994</v>
      </c>
      <c r="C14" s="504">
        <f t="shared" si="5"/>
        <v>61770864.840000004</v>
      </c>
      <c r="D14" s="505">
        <f t="shared" si="5"/>
        <v>4457589.2400000012</v>
      </c>
      <c r="E14" s="503">
        <f t="shared" si="5"/>
        <v>1037020.76</v>
      </c>
      <c r="F14" s="504">
        <f t="shared" si="5"/>
        <v>1221760.21</v>
      </c>
      <c r="G14" s="505">
        <f t="shared" si="5"/>
        <v>184739.44999999995</v>
      </c>
      <c r="H14" s="506">
        <f t="shared" si="5"/>
        <v>4642328.6900000013</v>
      </c>
      <c r="I14" s="507">
        <f t="shared" si="5"/>
        <v>1416097.25</v>
      </c>
      <c r="J14" s="507">
        <f t="shared" si="5"/>
        <v>2783747.42</v>
      </c>
      <c r="K14" s="508">
        <f t="shared" si="5"/>
        <v>4340000</v>
      </c>
      <c r="L14" s="508">
        <f t="shared" si="5"/>
        <v>2131092.9899999998</v>
      </c>
      <c r="M14" s="509">
        <f>L14/K14</f>
        <v>0.49103525115207369</v>
      </c>
      <c r="N14" s="510">
        <f>SUM(N7:N12)</f>
        <v>38907.010000000068</v>
      </c>
      <c r="O14" s="501"/>
    </row>
    <row r="15" spans="1:15" ht="13.5" thickBot="1" x14ac:dyDescent="0.25">
      <c r="A15" s="474"/>
      <c r="B15" s="511"/>
      <c r="C15" s="512"/>
      <c r="D15" s="513"/>
      <c r="E15" s="511"/>
      <c r="F15" s="512"/>
      <c r="G15" s="513"/>
      <c r="H15" s="514"/>
      <c r="I15" s="515"/>
      <c r="J15" s="515"/>
      <c r="K15" s="515"/>
      <c r="L15" s="515"/>
      <c r="M15" s="515"/>
      <c r="N15" s="515"/>
      <c r="O15" s="474"/>
    </row>
  </sheetData>
  <pageMargins left="0.23622047244094491" right="0.11811023622047245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12" sqref="C12"/>
    </sheetView>
  </sheetViews>
  <sheetFormatPr defaultRowHeight="12.75" x14ac:dyDescent="0.2"/>
  <cols>
    <col min="1" max="1" width="5.42578125" style="360" customWidth="1"/>
    <col min="2" max="2" width="56.5703125" style="360" bestFit="1" customWidth="1"/>
    <col min="3" max="3" width="12.42578125" style="360" customWidth="1"/>
    <col min="4" max="16384" width="9.140625" style="360"/>
  </cols>
  <sheetData>
    <row r="2" spans="1:3" s="380" customFormat="1" ht="18" x14ac:dyDescent="0.25">
      <c r="A2" s="430" t="s">
        <v>492</v>
      </c>
      <c r="B2" s="431" t="s">
        <v>491</v>
      </c>
      <c r="C2" s="440" t="s">
        <v>497</v>
      </c>
    </row>
    <row r="3" spans="1:3" ht="17.25" customHeight="1" x14ac:dyDescent="0.2">
      <c r="A3" s="432"/>
      <c r="B3" s="433" t="s">
        <v>489</v>
      </c>
      <c r="C3" s="432"/>
    </row>
    <row r="4" spans="1:3" ht="17.25" customHeight="1" x14ac:dyDescent="0.2">
      <c r="A4" s="432"/>
      <c r="B4" s="122" t="s">
        <v>7</v>
      </c>
      <c r="C4" s="434">
        <f>sumář!E11</f>
        <v>103641</v>
      </c>
    </row>
    <row r="5" spans="1:3" ht="17.25" customHeight="1" x14ac:dyDescent="0.2">
      <c r="A5" s="432"/>
      <c r="B5" s="122" t="s">
        <v>8</v>
      </c>
      <c r="C5" s="434">
        <f>sumář!E12</f>
        <v>31040</v>
      </c>
    </row>
    <row r="6" spans="1:3" ht="17.25" customHeight="1" x14ac:dyDescent="0.2">
      <c r="A6" s="432"/>
      <c r="B6" s="122" t="s">
        <v>9</v>
      </c>
      <c r="C6" s="434">
        <f>sumář!E13</f>
        <v>18247</v>
      </c>
    </row>
    <row r="7" spans="1:3" ht="17.25" customHeight="1" x14ac:dyDescent="0.2">
      <c r="A7" s="432"/>
      <c r="B7" s="122" t="s">
        <v>10</v>
      </c>
      <c r="C7" s="434">
        <f>sumář!E14</f>
        <v>42124.462189999998</v>
      </c>
    </row>
    <row r="8" spans="1:3" ht="17.25" customHeight="1" x14ac:dyDescent="0.2">
      <c r="A8" s="432"/>
      <c r="B8" s="15" t="s">
        <v>11</v>
      </c>
      <c r="C8" s="435">
        <f>SUM(C4:C7)</f>
        <v>195052.46218999999</v>
      </c>
    </row>
    <row r="9" spans="1:3" ht="17.25" customHeight="1" x14ac:dyDescent="0.2">
      <c r="A9" s="432"/>
      <c r="B9" s="432"/>
      <c r="C9" s="432"/>
    </row>
    <row r="10" spans="1:3" ht="17.25" customHeight="1" x14ac:dyDescent="0.2">
      <c r="A10" s="432" t="s">
        <v>488</v>
      </c>
      <c r="B10" s="433" t="s">
        <v>487</v>
      </c>
      <c r="C10" s="432"/>
    </row>
    <row r="11" spans="1:3" ht="17.25" customHeight="1" x14ac:dyDescent="0.2">
      <c r="A11" s="432">
        <v>10</v>
      </c>
      <c r="B11" s="436" t="s">
        <v>67</v>
      </c>
      <c r="C11" s="437">
        <f>výdaje!L5</f>
        <v>1453.557</v>
      </c>
    </row>
    <row r="12" spans="1:3" ht="17.25" customHeight="1" x14ac:dyDescent="0.2">
      <c r="A12" s="432">
        <v>21</v>
      </c>
      <c r="B12" s="436" t="s">
        <v>247</v>
      </c>
      <c r="C12" s="437">
        <f>výdaje!L8</f>
        <v>2732</v>
      </c>
    </row>
    <row r="13" spans="1:3" ht="17.25" customHeight="1" x14ac:dyDescent="0.2">
      <c r="A13" s="432">
        <v>22</v>
      </c>
      <c r="B13" s="436" t="s">
        <v>70</v>
      </c>
      <c r="C13" s="437">
        <f>výdaje!L14</f>
        <v>26415</v>
      </c>
    </row>
    <row r="14" spans="1:3" ht="17.25" customHeight="1" x14ac:dyDescent="0.2">
      <c r="A14" s="438">
        <v>31</v>
      </c>
      <c r="B14" s="436" t="s">
        <v>373</v>
      </c>
      <c r="C14" s="437">
        <f>výdaje!L31</f>
        <v>12277.4755</v>
      </c>
    </row>
    <row r="15" spans="1:3" ht="17.25" customHeight="1" x14ac:dyDescent="0.2">
      <c r="A15" s="438">
        <v>33</v>
      </c>
      <c r="B15" s="436" t="s">
        <v>71</v>
      </c>
      <c r="C15" s="437">
        <f>výdaje!L44</f>
        <v>16155</v>
      </c>
    </row>
    <row r="16" spans="1:3" ht="17.25" customHeight="1" x14ac:dyDescent="0.2">
      <c r="A16" s="438">
        <v>34</v>
      </c>
      <c r="B16" s="436" t="s">
        <v>73</v>
      </c>
      <c r="C16" s="437">
        <f>výdaje!L56</f>
        <v>13152</v>
      </c>
    </row>
    <row r="17" spans="1:3" ht="17.25" customHeight="1" x14ac:dyDescent="0.2">
      <c r="A17" s="438">
        <v>35</v>
      </c>
      <c r="B17" s="436" t="s">
        <v>135</v>
      </c>
      <c r="C17" s="437">
        <f>výdaje!L64</f>
        <v>13309</v>
      </c>
    </row>
    <row r="18" spans="1:3" ht="17.25" customHeight="1" x14ac:dyDescent="0.2">
      <c r="A18" s="438">
        <v>36</v>
      </c>
      <c r="B18" s="436" t="s">
        <v>74</v>
      </c>
      <c r="C18" s="437">
        <f>výdaje!L66</f>
        <v>25773</v>
      </c>
    </row>
    <row r="19" spans="1:3" ht="17.25" customHeight="1" x14ac:dyDescent="0.2">
      <c r="A19" s="438">
        <v>37</v>
      </c>
      <c r="B19" s="436" t="s">
        <v>136</v>
      </c>
      <c r="C19" s="437">
        <f>výdaje!L86</f>
        <v>15720</v>
      </c>
    </row>
    <row r="20" spans="1:3" ht="17.25" customHeight="1" x14ac:dyDescent="0.2">
      <c r="A20" s="438">
        <v>43</v>
      </c>
      <c r="B20" s="436" t="s">
        <v>78</v>
      </c>
      <c r="C20" s="437">
        <f>výdaje!L96</f>
        <v>18164.008000000002</v>
      </c>
    </row>
    <row r="21" spans="1:3" ht="17.25" customHeight="1" x14ac:dyDescent="0.2">
      <c r="A21" s="438">
        <v>53</v>
      </c>
      <c r="B21" s="436" t="s">
        <v>124</v>
      </c>
      <c r="C21" s="437">
        <f>výdaje!L102</f>
        <v>3300</v>
      </c>
    </row>
    <row r="22" spans="1:3" ht="17.25" customHeight="1" x14ac:dyDescent="0.2">
      <c r="A22" s="438">
        <v>61</v>
      </c>
      <c r="B22" s="436" t="s">
        <v>80</v>
      </c>
      <c r="C22" s="437">
        <f>výdaje!L106</f>
        <v>64459</v>
      </c>
    </row>
    <row r="23" spans="1:3" ht="17.25" customHeight="1" x14ac:dyDescent="0.2">
      <c r="A23" s="438">
        <v>63</v>
      </c>
      <c r="B23" s="436" t="s">
        <v>82</v>
      </c>
      <c r="C23" s="437">
        <f>výdaje!L112</f>
        <v>12855.421689999999</v>
      </c>
    </row>
    <row r="24" spans="1:3" ht="17.25" customHeight="1" x14ac:dyDescent="0.2">
      <c r="A24" s="432"/>
      <c r="B24" s="439" t="s">
        <v>84</v>
      </c>
      <c r="C24" s="435">
        <f>SUM(C11:C23)</f>
        <v>225765.46218999999</v>
      </c>
    </row>
    <row r="25" spans="1:3" ht="17.25" customHeight="1" x14ac:dyDescent="0.2">
      <c r="A25" s="432"/>
      <c r="B25" s="433" t="s">
        <v>486</v>
      </c>
      <c r="C25" s="435">
        <f>C8-C24</f>
        <v>-30713</v>
      </c>
    </row>
    <row r="26" spans="1:3" ht="17.25" customHeight="1" x14ac:dyDescent="0.2">
      <c r="A26" s="432"/>
      <c r="B26" s="432"/>
      <c r="C26" s="434"/>
    </row>
    <row r="27" spans="1:3" ht="17.25" customHeight="1" x14ac:dyDescent="0.2">
      <c r="A27" s="432"/>
      <c r="B27" s="433" t="s">
        <v>485</v>
      </c>
      <c r="C27" s="432"/>
    </row>
    <row r="28" spans="1:3" ht="17.25" customHeight="1" x14ac:dyDescent="0.2">
      <c r="A28" s="432"/>
      <c r="B28" s="122" t="s">
        <v>329</v>
      </c>
      <c r="C28" s="434">
        <f>sumář!E23</f>
        <v>-4291</v>
      </c>
    </row>
    <row r="29" spans="1:3" ht="17.25" customHeight="1" x14ac:dyDescent="0.2">
      <c r="A29" s="432"/>
      <c r="B29" s="122" t="s">
        <v>344</v>
      </c>
      <c r="C29" s="434">
        <v>0</v>
      </c>
    </row>
    <row r="30" spans="1:3" ht="17.25" customHeight="1" x14ac:dyDescent="0.2">
      <c r="A30" s="432"/>
      <c r="B30" s="122" t="s">
        <v>490</v>
      </c>
      <c r="C30" s="434">
        <f>sumář!E28</f>
        <v>35004</v>
      </c>
    </row>
    <row r="31" spans="1:3" ht="17.25" customHeight="1" x14ac:dyDescent="0.2">
      <c r="A31" s="432"/>
      <c r="B31" s="433" t="s">
        <v>18</v>
      </c>
      <c r="C31" s="435">
        <f>SUM(C28:C30)</f>
        <v>30713</v>
      </c>
    </row>
  </sheetData>
  <pageMargins left="0.78740157480314965" right="0.70866141732283472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sumář</vt:lpstr>
      <vt:lpstr>příjmy</vt:lpstr>
      <vt:lpstr>výdaje</vt:lpstr>
      <vt:lpstr>správa po odborech</vt:lpstr>
      <vt:lpstr>PO</vt:lpstr>
      <vt:lpstr>Závazné ukazatele</vt:lpstr>
      <vt:lpstr>příjmy!Názvy_tisku</vt:lpstr>
      <vt:lpstr>'správa po odborech'!Názvy_tisku</vt:lpstr>
      <vt:lpstr>výdaje!Názvy_tisku</vt:lpstr>
      <vt:lpstr>příjmy!Oblast_tisku</vt:lpstr>
      <vt:lpstr>'správa po odborech'!Oblast_tisku</vt:lpstr>
      <vt:lpstr>sumář!Oblast_tisku</vt:lpstr>
      <vt:lpstr>výdaje!Oblast_tisku</vt:lpstr>
    </vt:vector>
  </TitlesOfParts>
  <Company>Jilemnice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Trojanová Hana, Ing.</cp:lastModifiedBy>
  <cp:lastPrinted>2022-08-09T10:40:46Z</cp:lastPrinted>
  <dcterms:created xsi:type="dcterms:W3CDTF">1999-02-03T10:11:29Z</dcterms:created>
  <dcterms:modified xsi:type="dcterms:W3CDTF">2022-08-09T10:41:22Z</dcterms:modified>
</cp:coreProperties>
</file>